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060" windowHeight="8970" firstSheet="13" activeTab="14"/>
  </bookViews>
  <sheets>
    <sheet name="Январь" sheetId="1" state="hidden" r:id="rId1"/>
    <sheet name="Февраль" sheetId="2" state="hidden" r:id="rId2"/>
    <sheet name="Март" sheetId="3" state="hidden" r:id="rId3"/>
    <sheet name="Апрель" sheetId="4" state="hidden" r:id="rId4"/>
    <sheet name="Май" sheetId="5" state="hidden" r:id="rId5"/>
    <sheet name="Июнь" sheetId="6" state="hidden" r:id="rId6"/>
    <sheet name="Июль" sheetId="7" state="hidden" r:id="rId7"/>
    <sheet name="Июль 1" sheetId="8" state="hidden" r:id="rId8"/>
    <sheet name="Август" sheetId="9" state="hidden" r:id="rId9"/>
    <sheet name="Сентябрь" sheetId="10" state="hidden" r:id="rId10"/>
    <sheet name="Октябрь" sheetId="11" state="hidden" r:id="rId11"/>
    <sheet name="Ноябрь" sheetId="12" state="hidden" r:id="rId12"/>
    <sheet name="Декабрь" sheetId="13" state="hidden" r:id="rId13"/>
    <sheet name="2014г." sheetId="14" r:id="rId14"/>
    <sheet name="2015г." sheetId="15" r:id="rId15"/>
  </sheets>
  <definedNames>
    <definedName name="_xlnm.Print_Titles" localSheetId="13">'2014г.'!$A:$B</definedName>
    <definedName name="_xlnm.Print_Titles" localSheetId="14">'2015г.'!$A:$B</definedName>
    <definedName name="_xlnm.Print_Titles" localSheetId="8">'Август'!$A:$B</definedName>
    <definedName name="_xlnm.Print_Titles" localSheetId="3">'Апрель'!$A:$B</definedName>
    <definedName name="_xlnm.Print_Titles" localSheetId="12">'Декабрь'!$A:$B</definedName>
    <definedName name="_xlnm.Print_Titles" localSheetId="6">'Июль'!$A:$B</definedName>
    <definedName name="_xlnm.Print_Titles" localSheetId="7">'Июль 1'!$A:$B</definedName>
    <definedName name="_xlnm.Print_Titles" localSheetId="5">'Июнь'!$A:$B</definedName>
    <definedName name="_xlnm.Print_Titles" localSheetId="4">'Май'!$A:$B</definedName>
    <definedName name="_xlnm.Print_Titles" localSheetId="2">'Март'!$A:$B</definedName>
    <definedName name="_xlnm.Print_Titles" localSheetId="11">'Ноябрь'!$A:$B</definedName>
    <definedName name="_xlnm.Print_Titles" localSheetId="10">'Октябрь'!$A:$B</definedName>
    <definedName name="_xlnm.Print_Titles" localSheetId="9">'Сентябрь'!$A:$B</definedName>
    <definedName name="_xlnm.Print_Titles" localSheetId="1">'Февраль'!$A:$B</definedName>
    <definedName name="_xlnm.Print_Titles" localSheetId="0">'Январь'!$A:$B</definedName>
    <definedName name="_xlnm.Print_Area" localSheetId="13">'2014г.'!$A$1:$AZ$48</definedName>
    <definedName name="_xlnm.Print_Area" localSheetId="14">'2015г.'!$A$1:$AZ$49</definedName>
    <definedName name="_xlnm.Print_Area" localSheetId="8">'Август'!$A$1:$AZ$49</definedName>
    <definedName name="_xlnm.Print_Area" localSheetId="3">'Апрель'!$A$1:$AZ$48</definedName>
    <definedName name="_xlnm.Print_Area" localSheetId="12">'Декабрь'!$A$1:$AZ$49</definedName>
    <definedName name="_xlnm.Print_Area" localSheetId="6">'Июль'!$A$1:$Q$46</definedName>
    <definedName name="_xlnm.Print_Area" localSheetId="7">'Июль 1'!$A$1:$AZ$49</definedName>
    <definedName name="_xlnm.Print_Area" localSheetId="5">'Июнь'!$A$1:$AZ$48</definedName>
    <definedName name="_xlnm.Print_Area" localSheetId="4">'Май'!$A$1:$AZ$48</definedName>
    <definedName name="_xlnm.Print_Area" localSheetId="2">'Март'!$A$1:$AZ$48</definedName>
    <definedName name="_xlnm.Print_Area" localSheetId="11">'Ноябрь'!$A$1:$AZ$48</definedName>
    <definedName name="_xlnm.Print_Area" localSheetId="10">'Октябрь'!$A$1:$AZ$49</definedName>
    <definedName name="_xlnm.Print_Area" localSheetId="9">'Сентябрь'!$A$1:$AZ$49</definedName>
    <definedName name="_xlnm.Print_Area" localSheetId="1">'Февраль'!$A$1:$AZ$48</definedName>
    <definedName name="_xlnm.Print_Area" localSheetId="0">'Январь'!$A$1:$AZ$48</definedName>
  </definedNames>
  <calcPr fullCalcOnLoad="1"/>
</workbook>
</file>

<file path=xl/sharedStrings.xml><?xml version="1.0" encoding="utf-8"?>
<sst xmlns="http://schemas.openxmlformats.org/spreadsheetml/2006/main" count="1571" uniqueCount="71">
  <si>
    <t>Горячее водоснабжение</t>
  </si>
  <si>
    <t>Холодное водоснабжение</t>
  </si>
  <si>
    <t xml:space="preserve">Теплоснабжение                          </t>
  </si>
  <si>
    <t>Водоотведение</t>
  </si>
  <si>
    <t>Гкал</t>
  </si>
  <si>
    <t>м3</t>
  </si>
  <si>
    <t>ВСЕГО</t>
  </si>
  <si>
    <t>Наименование услуги / поставщика услуги</t>
  </si>
  <si>
    <t>Объем реализованного населению ресурса, натур. ед.</t>
  </si>
  <si>
    <t>Сведения о покупке и реализации услуг для населения Ярославского муниципального района</t>
  </si>
  <si>
    <t xml:space="preserve">Тариф для населения, руб.
</t>
  </si>
  <si>
    <t xml:space="preserve">ЭОТ поставщика,  руб.
</t>
  </si>
  <si>
    <t>Ивняковское</t>
  </si>
  <si>
    <t>Карабихское</t>
  </si>
  <si>
    <t>Туношенское</t>
  </si>
  <si>
    <t>Курбское</t>
  </si>
  <si>
    <t>Некрасовское</t>
  </si>
  <si>
    <t>ОАО "ЖКХ "Заволжье"</t>
  </si>
  <si>
    <t>ООО "Русэнергосбыт"</t>
  </si>
  <si>
    <t>Генеральный директор ЗАО "ЯРУ "ЖКХ"</t>
  </si>
  <si>
    <t>ГУП ЖКХ ЯО "Яркоммунсервис" (Спасское)</t>
  </si>
  <si>
    <t>ГУП ЖКХ ЯО "Яркоммунсервис" (Туношна)</t>
  </si>
  <si>
    <t>ЯДГС ЯО СЖД Филиала ОАО "РЖД"</t>
  </si>
  <si>
    <t>ЗАО "Пансионат отдыха  " Ярославль"</t>
  </si>
  <si>
    <t>ГУП ЖКХ "Яркоммунсервис" (Туношна)</t>
  </si>
  <si>
    <t>ОАО "ЖКХ "Заволжье" (полн. техн. цикл)</t>
  </si>
  <si>
    <t>ОАО Санаторий "Красный Холм"</t>
  </si>
  <si>
    <t>ОАО "ЖКХ "Заволжье" (ОАО "Ярославльводоканал" с транспортировкой ОАО ЖКХ "Заволжье")</t>
  </si>
  <si>
    <t>ОАО "ЖКХ "Заволжье" (ОАО "Славнефть" с транспортировкой ОАО "ЖКХ "Заволжье")</t>
  </si>
  <si>
    <t xml:space="preserve">ОАО "ЖКХ "Заволжье" (транспортировка) </t>
  </si>
  <si>
    <t>Объем поставщика, натур. ед. (гр.5/гр.4)</t>
  </si>
  <si>
    <t xml:space="preserve">Стоимость по ЭОТ,  руб. </t>
  </si>
  <si>
    <t xml:space="preserve">Стоимость по тарифу для населения,  руб. </t>
  </si>
  <si>
    <t xml:space="preserve">Потребность в региональном стандарте,  руб.                                                     
 (разница в счетах-объемы населения) (гр. 4 - гр. 7) * гр. 6 </t>
  </si>
  <si>
    <t xml:space="preserve"> </t>
  </si>
  <si>
    <t>ОАО"ЖКХ"Заволжье"</t>
  </si>
  <si>
    <t>Заволжское</t>
  </si>
  <si>
    <t>ООО "УПТК "ТПС"по сетям МПУ "Яргорэнергосбыт"</t>
  </si>
  <si>
    <t>ООО "УПТК "ТПС"по сетям МПУ "Яргорэнергосбыт" и ОАО ЖКХ "Заволжье" в пос.Красный Бор</t>
  </si>
  <si>
    <t>ОАО "БизнесПродуктГрупп" с транспортировкой ОАО ЖКХ "Заволжье"</t>
  </si>
  <si>
    <r>
      <t xml:space="preserve">за январь  2014 года  </t>
    </r>
    <r>
      <rPr>
        <u val="single"/>
        <sz val="20"/>
        <rFont val="Arial Cyr"/>
        <family val="0"/>
      </rPr>
      <t>по ЗАО "ЯРУ "ЖКХ"</t>
    </r>
  </si>
  <si>
    <t>ОАО "ТГК-2" (с транспортировкой ОАО ЖКХ "Заволжье")</t>
  </si>
  <si>
    <t>ОАО "Санаторий "Красный Холм" (с транспортировкой ОАО ЖКХ "Заволжье"</t>
  </si>
  <si>
    <t>ОАО "БизнесПродуктГрупп" (с транспортировкой ОАО ЖКХ "Заволжье"</t>
  </si>
  <si>
    <t>ГОУ СПО "ЯАПК"</t>
  </si>
  <si>
    <t>А.В.Шатский</t>
  </si>
  <si>
    <t>ИТОГО за январь 2014г.</t>
  </si>
  <si>
    <r>
      <t xml:space="preserve">за февраль  2014 года  </t>
    </r>
    <r>
      <rPr>
        <b/>
        <u val="single"/>
        <sz val="20"/>
        <rFont val="Arial Cyr"/>
        <family val="0"/>
      </rPr>
      <t>по ЗАО "ЯРУ "ЖКХ"</t>
    </r>
  </si>
  <si>
    <r>
      <t xml:space="preserve">за март 2014 года  </t>
    </r>
    <r>
      <rPr>
        <u val="single"/>
        <sz val="20"/>
        <rFont val="Arial Cyr"/>
        <family val="0"/>
      </rPr>
      <t>по ЗАО "ЯРУ "ЖКХ"</t>
    </r>
  </si>
  <si>
    <r>
      <t xml:space="preserve">за апрель 2014 года  </t>
    </r>
    <r>
      <rPr>
        <u val="single"/>
        <sz val="20"/>
        <rFont val="Arial Cyr"/>
        <family val="0"/>
      </rPr>
      <t>по ЗАО "ЯРУ "ЖКХ"</t>
    </r>
  </si>
  <si>
    <r>
      <t xml:space="preserve">за май 2014 года  </t>
    </r>
    <r>
      <rPr>
        <u val="single"/>
        <sz val="20"/>
        <rFont val="Arial Cyr"/>
        <family val="0"/>
      </rPr>
      <t>по ЗАО "ЯРУ "ЖКХ"</t>
    </r>
  </si>
  <si>
    <r>
      <t xml:space="preserve">за июнь 2014 года  </t>
    </r>
    <r>
      <rPr>
        <u val="single"/>
        <sz val="20"/>
        <rFont val="Arial Cyr"/>
        <family val="0"/>
      </rPr>
      <t>по ЗАО "ЯРУ "ЖКХ"</t>
    </r>
  </si>
  <si>
    <t>ИТОГО за июнь 2014г.</t>
  </si>
  <si>
    <r>
      <t xml:space="preserve">за июль 2014 года  </t>
    </r>
    <r>
      <rPr>
        <u val="single"/>
        <sz val="20"/>
        <rFont val="Arial Cyr"/>
        <family val="0"/>
      </rPr>
      <t>по ЗАО "ЯРУ "ЖКХ"</t>
    </r>
  </si>
  <si>
    <t>ИТОГО за июль 2014г.</t>
  </si>
  <si>
    <t xml:space="preserve">ОАО "ЖКХ "Заволжье" (ЕРШОВО) </t>
  </si>
  <si>
    <t>ИТОГО за август 2014г.</t>
  </si>
  <si>
    <r>
      <t xml:space="preserve">за сентябрь 2014 года  </t>
    </r>
    <r>
      <rPr>
        <u val="single"/>
        <sz val="20"/>
        <rFont val="Arial Cyr"/>
        <family val="0"/>
      </rPr>
      <t>по ЗАО "ЯРУ "ЖКХ"</t>
    </r>
  </si>
  <si>
    <r>
      <t xml:space="preserve">за октябрь 2014 года  </t>
    </r>
    <r>
      <rPr>
        <u val="single"/>
        <sz val="20"/>
        <rFont val="Arial Cyr"/>
        <family val="0"/>
      </rPr>
      <t>по ЗАО "ЯРУ "ЖКХ"</t>
    </r>
  </si>
  <si>
    <r>
      <t xml:space="preserve">за ноябрь 2014 года  </t>
    </r>
    <r>
      <rPr>
        <u val="single"/>
        <sz val="20"/>
        <rFont val="Arial Cyr"/>
        <family val="0"/>
      </rPr>
      <t>по ЗАО "ЯРУ "ЖКХ"</t>
    </r>
  </si>
  <si>
    <t>ИТОГО за ОКТЯБРЬ 2014г.</t>
  </si>
  <si>
    <t>ИТОГО за ноябрь 2014г.</t>
  </si>
  <si>
    <r>
      <t xml:space="preserve">за декабрь 2014 года  </t>
    </r>
    <r>
      <rPr>
        <u val="single"/>
        <sz val="20"/>
        <rFont val="Arial Cyr"/>
        <family val="0"/>
      </rPr>
      <t>по ЗАО "ЯРУ "ЖКХ"</t>
    </r>
  </si>
  <si>
    <t>ИТОГО за декабрь 2014г.</t>
  </si>
  <si>
    <t>ИТОГО за 2014г.</t>
  </si>
  <si>
    <t>Информация о коммунальных услугах,поставщиках коммунальных ресурсов и установленных ценах на коммунальные ресурсы</t>
  </si>
  <si>
    <t xml:space="preserve">Экономически обоснованный тариф,  руб.
</t>
  </si>
  <si>
    <t xml:space="preserve">Объем , натур. ед. </t>
  </si>
  <si>
    <r>
      <t xml:space="preserve">за  2014 года  </t>
    </r>
    <r>
      <rPr>
        <b/>
        <u val="single"/>
        <sz val="24"/>
        <rFont val="Arial Cyr"/>
        <family val="0"/>
      </rPr>
      <t>по ЗАО "ЯРУ "ЖКХ"</t>
    </r>
  </si>
  <si>
    <t>Ед.изм.</t>
  </si>
  <si>
    <r>
      <t xml:space="preserve">на  2015 года  </t>
    </r>
    <r>
      <rPr>
        <b/>
        <u val="single"/>
        <sz val="24"/>
        <rFont val="Arial Cyr"/>
        <family val="0"/>
      </rPr>
      <t>по ЗАО "ЯРУ "ЖКХ"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</si>
</sst>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0.0000"/>
    <numFmt numFmtId="170" formatCode="0.000"/>
    <numFmt numFmtId="171" formatCode="0.0"/>
    <numFmt numFmtId="172" formatCode="0.00000"/>
    <numFmt numFmtId="173" formatCode="[$-FC19]d\ mmmm\ yyyy\ &quot;г.&quot;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u val="single"/>
      <sz val="20"/>
      <name val="Arial Cyr"/>
      <family val="0"/>
    </font>
    <font>
      <sz val="20"/>
      <color indexed="8"/>
      <name val="Arial Cyr"/>
      <family val="0"/>
    </font>
    <font>
      <b/>
      <u val="single"/>
      <sz val="20"/>
      <name val="Arial Cyr"/>
      <family val="0"/>
    </font>
    <font>
      <b/>
      <sz val="22"/>
      <name val="Arial Cyr"/>
      <family val="0"/>
    </font>
    <font>
      <sz val="24"/>
      <name val="Arial Cyr"/>
      <family val="0"/>
    </font>
    <font>
      <b/>
      <sz val="24"/>
      <name val="Arial Cyr"/>
      <family val="0"/>
    </font>
    <font>
      <sz val="2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33" borderId="14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169" fontId="4" fillId="33" borderId="16" xfId="0" applyNumberFormat="1" applyFont="1" applyFill="1" applyBorder="1" applyAlignment="1">
      <alignment horizontal="center" vertical="center" wrapText="1"/>
    </xf>
    <xf numFmtId="170" fontId="4" fillId="33" borderId="16" xfId="0" applyNumberFormat="1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9" fontId="4" fillId="33" borderId="19" xfId="0" applyNumberFormat="1" applyFont="1" applyFill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9" fontId="4" fillId="33" borderId="12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169" fontId="3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9" fontId="4" fillId="33" borderId="11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70" fontId="4" fillId="33" borderId="11" xfId="0" applyNumberFormat="1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69" fontId="3" fillId="0" borderId="19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165" fontId="4" fillId="33" borderId="16" xfId="0" applyNumberFormat="1" applyFont="1" applyFill="1" applyBorder="1" applyAlignment="1">
      <alignment horizontal="center" vertical="center" wrapText="1"/>
    </xf>
    <xf numFmtId="165" fontId="4" fillId="33" borderId="17" xfId="0" applyNumberFormat="1" applyFont="1" applyFill="1" applyBorder="1" applyAlignment="1">
      <alignment horizontal="center" vertical="center" wrapText="1"/>
    </xf>
    <xf numFmtId="4" fontId="4" fillId="33" borderId="24" xfId="0" applyNumberFormat="1" applyFont="1" applyFill="1" applyBorder="1" applyAlignment="1">
      <alignment horizontal="center" vertical="center" wrapText="1"/>
    </xf>
    <xf numFmtId="165" fontId="4" fillId="33" borderId="19" xfId="0" applyNumberFormat="1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 horizontal="center" vertical="center" wrapText="1"/>
    </xf>
    <xf numFmtId="165" fontId="4" fillId="33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5" fontId="4" fillId="33" borderId="11" xfId="0" applyNumberFormat="1" applyFont="1" applyFill="1" applyBorder="1" applyAlignment="1">
      <alignment horizontal="center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0" fontId="4" fillId="33" borderId="1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0" fontId="4" fillId="33" borderId="12" xfId="0" applyNumberFormat="1" applyFont="1" applyFill="1" applyBorder="1" applyAlignment="1">
      <alignment horizontal="center" vertical="center" wrapText="1"/>
    </xf>
    <xf numFmtId="170" fontId="3" fillId="0" borderId="12" xfId="0" applyNumberFormat="1" applyFont="1" applyFill="1" applyBorder="1" applyAlignment="1">
      <alignment horizontal="center" vertical="center" wrapText="1"/>
    </xf>
    <xf numFmtId="171" fontId="3" fillId="0" borderId="1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0" fontId="3" fillId="0" borderId="27" xfId="0" applyNumberFormat="1" applyFont="1" applyFill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4" fontId="4" fillId="33" borderId="27" xfId="0" applyNumberFormat="1" applyFont="1" applyFill="1" applyBorder="1" applyAlignment="1">
      <alignment horizontal="center" vertical="center" wrapText="1"/>
    </xf>
    <xf numFmtId="4" fontId="4" fillId="33" borderId="29" xfId="0" applyNumberFormat="1" applyFont="1" applyFill="1" applyBorder="1" applyAlignment="1">
      <alignment horizontal="center" vertical="center" wrapText="1"/>
    </xf>
    <xf numFmtId="165" fontId="4" fillId="33" borderId="29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4" fontId="4" fillId="34" borderId="16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165" fontId="3" fillId="0" borderId="30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25" xfId="0" applyNumberFormat="1" applyFont="1" applyBorder="1" applyAlignment="1">
      <alignment horizontal="center" vertical="center" wrapText="1"/>
    </xf>
    <xf numFmtId="165" fontId="3" fillId="0" borderId="29" xfId="0" applyNumberFormat="1" applyFont="1" applyBorder="1" applyAlignment="1">
      <alignment horizontal="center" vertical="center" wrapText="1"/>
    </xf>
    <xf numFmtId="165" fontId="4" fillId="33" borderId="25" xfId="0" applyNumberFormat="1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center" vertical="center" wrapText="1"/>
    </xf>
    <xf numFmtId="170" fontId="3" fillId="0" borderId="19" xfId="0" applyNumberFormat="1" applyFont="1" applyFill="1" applyBorder="1" applyAlignment="1">
      <alignment horizontal="center" vertical="center" wrapText="1"/>
    </xf>
    <xf numFmtId="169" fontId="3" fillId="0" borderId="30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69" fontId="3" fillId="0" borderId="21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" fontId="4" fillId="33" borderId="26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1" fontId="4" fillId="0" borderId="37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4" fillId="35" borderId="16" xfId="0" applyNumberFormat="1" applyFont="1" applyFill="1" applyBorder="1" applyAlignment="1">
      <alignment horizontal="center" vertical="center" wrapText="1"/>
    </xf>
    <xf numFmtId="4" fontId="4" fillId="33" borderId="3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4" fontId="4" fillId="33" borderId="21" xfId="0" applyNumberFormat="1" applyFont="1" applyFill="1" applyBorder="1" applyAlignment="1">
      <alignment horizontal="center" vertical="center" wrapText="1"/>
    </xf>
    <xf numFmtId="4" fontId="3" fillId="36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" fontId="3" fillId="37" borderId="11" xfId="0" applyNumberFormat="1" applyFont="1" applyFill="1" applyBorder="1" applyAlignment="1">
      <alignment horizontal="center" vertical="center" wrapText="1"/>
    </xf>
    <xf numFmtId="4" fontId="3" fillId="37" borderId="12" xfId="0" applyNumberFormat="1" applyFont="1" applyFill="1" applyBorder="1" applyAlignment="1">
      <alignment horizontal="center" vertical="center" wrapText="1"/>
    </xf>
    <xf numFmtId="4" fontId="3" fillId="37" borderId="14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7" fontId="3" fillId="0" borderId="11" xfId="0" applyNumberFormat="1" applyFont="1" applyBorder="1" applyAlignment="1">
      <alignment horizontal="center" vertical="center" wrapText="1"/>
    </xf>
    <xf numFmtId="166" fontId="4" fillId="33" borderId="11" xfId="0" applyNumberFormat="1" applyFont="1" applyFill="1" applyBorder="1" applyAlignment="1">
      <alignment horizontal="center" vertical="center" wrapText="1"/>
    </xf>
    <xf numFmtId="167" fontId="4" fillId="33" borderId="11" xfId="0" applyNumberFormat="1" applyFont="1" applyFill="1" applyBorder="1" applyAlignment="1">
      <alignment horizontal="center" vertical="center" wrapText="1"/>
    </xf>
    <xf numFmtId="166" fontId="4" fillId="33" borderId="12" xfId="0" applyNumberFormat="1" applyFont="1" applyFill="1" applyBorder="1" applyAlignment="1">
      <alignment horizontal="center" vertical="center" wrapText="1"/>
    </xf>
    <xf numFmtId="166" fontId="4" fillId="33" borderId="19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4" fontId="3" fillId="36" borderId="11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166" fontId="4" fillId="33" borderId="16" xfId="0" applyNumberFormat="1" applyFont="1" applyFill="1" applyBorder="1" applyAlignment="1">
      <alignment horizontal="center" vertical="center" wrapText="1"/>
    </xf>
    <xf numFmtId="4" fontId="3" fillId="36" borderId="14" xfId="0" applyNumberFormat="1" applyFont="1" applyFill="1" applyBorder="1" applyAlignment="1">
      <alignment horizontal="center" vertical="center" wrapText="1"/>
    </xf>
    <xf numFmtId="4" fontId="3" fillId="37" borderId="25" xfId="0" applyNumberFormat="1" applyFont="1" applyFill="1" applyBorder="1" applyAlignment="1">
      <alignment horizontal="center" vertical="center" wrapText="1"/>
    </xf>
    <xf numFmtId="4" fontId="3" fillId="38" borderId="11" xfId="0" applyNumberFormat="1" applyFont="1" applyFill="1" applyBorder="1" applyAlignment="1">
      <alignment horizontal="center" vertical="center" wrapText="1"/>
    </xf>
    <xf numFmtId="4" fontId="3" fillId="36" borderId="25" xfId="0" applyNumberFormat="1" applyFont="1" applyFill="1" applyBorder="1" applyAlignment="1">
      <alignment horizontal="center" vertical="center" wrapText="1"/>
    </xf>
    <xf numFmtId="165" fontId="3" fillId="36" borderId="11" xfId="0" applyNumberFormat="1" applyFont="1" applyFill="1" applyBorder="1" applyAlignment="1">
      <alignment horizontal="center" vertical="center" wrapText="1"/>
    </xf>
    <xf numFmtId="4" fontId="3" fillId="38" borderId="12" xfId="0" applyNumberFormat="1" applyFont="1" applyFill="1" applyBorder="1" applyAlignment="1">
      <alignment horizontal="center" vertical="center" wrapText="1"/>
    </xf>
    <xf numFmtId="4" fontId="4" fillId="39" borderId="12" xfId="0" applyNumberFormat="1" applyFont="1" applyFill="1" applyBorder="1" applyAlignment="1">
      <alignment horizontal="center" vertical="center" wrapText="1"/>
    </xf>
    <xf numFmtId="4" fontId="3" fillId="39" borderId="12" xfId="0" applyNumberFormat="1" applyFont="1" applyFill="1" applyBorder="1" applyAlignment="1">
      <alignment horizontal="center" vertical="center" wrapText="1"/>
    </xf>
    <xf numFmtId="165" fontId="3" fillId="36" borderId="12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" fontId="9" fillId="0" borderId="33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9" fillId="0" borderId="31" xfId="0" applyNumberFormat="1" applyFont="1" applyFill="1" applyBorder="1" applyAlignment="1">
      <alignment horizontal="center" vertical="center" wrapText="1"/>
    </xf>
    <xf numFmtId="4" fontId="10" fillId="33" borderId="19" xfId="0" applyNumberFormat="1" applyFont="1" applyFill="1" applyBorder="1" applyAlignment="1">
      <alignment horizontal="center" vertical="center" wrapText="1"/>
    </xf>
    <xf numFmtId="4" fontId="9" fillId="0" borderId="30" xfId="0" applyNumberFormat="1" applyFont="1" applyFill="1" applyBorder="1" applyAlignment="1">
      <alignment horizontal="center" vertical="center" wrapText="1"/>
    </xf>
    <xf numFmtId="4" fontId="10" fillId="33" borderId="24" xfId="0" applyNumberFormat="1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center" vertical="center" wrapText="1"/>
    </xf>
    <xf numFmtId="4" fontId="10" fillId="33" borderId="17" xfId="0" applyNumberFormat="1" applyFont="1" applyFill="1" applyBorder="1" applyAlignment="1">
      <alignment horizontal="center" vertical="center" wrapText="1"/>
    </xf>
    <xf numFmtId="4" fontId="10" fillId="35" borderId="17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center" vertical="center" wrapText="1"/>
    </xf>
    <xf numFmtId="4" fontId="9" fillId="36" borderId="14" xfId="0" applyNumberFormat="1" applyFont="1" applyFill="1" applyBorder="1" applyAlignment="1">
      <alignment horizontal="center" vertical="center" wrapText="1"/>
    </xf>
    <xf numFmtId="4" fontId="10" fillId="33" borderId="25" xfId="0" applyNumberFormat="1" applyFont="1" applyFill="1" applyBorder="1" applyAlignment="1">
      <alignment horizontal="center" vertical="center" wrapText="1"/>
    </xf>
    <xf numFmtId="4" fontId="9" fillId="37" borderId="12" xfId="0" applyNumberFormat="1" applyFont="1" applyFill="1" applyBorder="1" applyAlignment="1">
      <alignment horizontal="center" vertical="center" wrapText="1"/>
    </xf>
    <xf numFmtId="4" fontId="9" fillId="36" borderId="11" xfId="0" applyNumberFormat="1" applyFont="1" applyFill="1" applyBorder="1" applyAlignment="1">
      <alignment horizontal="center" vertical="center" wrapText="1"/>
    </xf>
    <xf numFmtId="4" fontId="9" fillId="0" borderId="32" xfId="0" applyNumberFormat="1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4" fontId="10" fillId="33" borderId="27" xfId="0" applyNumberFormat="1" applyFont="1" applyFill="1" applyBorder="1" applyAlignment="1">
      <alignment horizontal="center" vertical="center" wrapText="1"/>
    </xf>
    <xf numFmtId="4" fontId="10" fillId="33" borderId="29" xfId="0" applyNumberFormat="1" applyFont="1" applyFill="1" applyBorder="1" applyAlignment="1">
      <alignment horizontal="center" vertical="center" wrapText="1"/>
    </xf>
    <xf numFmtId="4" fontId="9" fillId="36" borderId="12" xfId="0" applyNumberFormat="1" applyFont="1" applyFill="1" applyBorder="1" applyAlignment="1">
      <alignment horizontal="center" vertical="center" wrapText="1"/>
    </xf>
    <xf numFmtId="4" fontId="10" fillId="35" borderId="16" xfId="0" applyNumberFormat="1" applyFont="1" applyFill="1" applyBorder="1" applyAlignment="1">
      <alignment horizontal="center" vertical="center" wrapText="1"/>
    </xf>
    <xf numFmtId="172" fontId="4" fillId="33" borderId="16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166" fontId="3" fillId="0" borderId="25" xfId="0" applyNumberFormat="1" applyFont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6" fontId="6" fillId="0" borderId="12" xfId="0" applyNumberFormat="1" applyFont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166" fontId="3" fillId="0" borderId="27" xfId="0" applyNumberFormat="1" applyFont="1" applyFill="1" applyBorder="1" applyAlignment="1">
      <alignment horizontal="center" vertical="center" wrapText="1"/>
    </xf>
    <xf numFmtId="166" fontId="3" fillId="0" borderId="30" xfId="0" applyNumberFormat="1" applyFont="1" applyBorder="1" applyAlignment="1">
      <alignment horizontal="center" vertical="center" wrapText="1"/>
    </xf>
    <xf numFmtId="165" fontId="47" fillId="36" borderId="12" xfId="0" applyNumberFormat="1" applyFont="1" applyFill="1" applyBorder="1" applyAlignment="1">
      <alignment horizontal="center" vertical="center" wrapText="1"/>
    </xf>
    <xf numFmtId="166" fontId="47" fillId="36" borderId="11" xfId="0" applyNumberFormat="1" applyFont="1" applyFill="1" applyBorder="1" applyAlignment="1">
      <alignment horizontal="center" vertical="center" wrapText="1"/>
    </xf>
    <xf numFmtId="4" fontId="47" fillId="36" borderId="11" xfId="0" applyNumberFormat="1" applyFont="1" applyFill="1" applyBorder="1" applyAlignment="1">
      <alignment horizontal="center" vertical="center" wrapText="1"/>
    </xf>
    <xf numFmtId="4" fontId="47" fillId="36" borderId="12" xfId="0" applyNumberFormat="1" applyFont="1" applyFill="1" applyBorder="1" applyAlignment="1">
      <alignment horizontal="center" vertical="center" wrapText="1"/>
    </xf>
    <xf numFmtId="166" fontId="47" fillId="36" borderId="12" xfId="0" applyNumberFormat="1" applyFont="1" applyFill="1" applyBorder="1" applyAlignment="1">
      <alignment horizontal="center" vertical="center" wrapText="1"/>
    </xf>
    <xf numFmtId="4" fontId="4" fillId="0" borderId="4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4" fontId="4" fillId="0" borderId="41" xfId="0" applyNumberFormat="1" applyFont="1" applyFill="1" applyBorder="1" applyAlignment="1">
      <alignment horizontal="center" vertical="center" wrapText="1"/>
    </xf>
    <xf numFmtId="4" fontId="4" fillId="0" borderId="4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4" fillId="0" borderId="44" xfId="0" applyNumberFormat="1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center" vertical="justify" wrapText="1"/>
    </xf>
    <xf numFmtId="4" fontId="4" fillId="0" borderId="35" xfId="0" applyNumberFormat="1" applyFont="1" applyFill="1" applyBorder="1" applyAlignment="1">
      <alignment horizontal="center" vertical="justify" wrapText="1"/>
    </xf>
    <xf numFmtId="4" fontId="4" fillId="0" borderId="44" xfId="0" applyNumberFormat="1" applyFont="1" applyFill="1" applyBorder="1" applyAlignment="1">
      <alignment horizontal="center" vertical="justify" wrapText="1"/>
    </xf>
    <xf numFmtId="0" fontId="4" fillId="0" borderId="0" xfId="0" applyFont="1" applyBorder="1" applyAlignment="1">
      <alignment horizontal="left" vertical="center" wrapText="1"/>
    </xf>
    <xf numFmtId="4" fontId="3" fillId="33" borderId="33" xfId="0" applyNumberFormat="1" applyFont="1" applyFill="1" applyBorder="1" applyAlignment="1">
      <alignment horizontal="center" vertical="center" wrapText="1"/>
    </xf>
    <xf numFmtId="1" fontId="4" fillId="33" borderId="45" xfId="0" applyNumberFormat="1" applyFont="1" applyFill="1" applyBorder="1" applyAlignment="1">
      <alignment horizontal="center" vertical="center" wrapText="1"/>
    </xf>
    <xf numFmtId="4" fontId="4" fillId="33" borderId="46" xfId="0" applyNumberFormat="1" applyFont="1" applyFill="1" applyBorder="1" applyAlignment="1">
      <alignment horizontal="center" vertical="center" wrapText="1"/>
    </xf>
    <xf numFmtId="4" fontId="4" fillId="33" borderId="33" xfId="0" applyNumberFormat="1" applyFont="1" applyFill="1" applyBorder="1" applyAlignment="1">
      <alignment horizontal="center" vertical="center" wrapText="1"/>
    </xf>
    <xf numFmtId="4" fontId="4" fillId="33" borderId="31" xfId="0" applyNumberFormat="1" applyFont="1" applyFill="1" applyBorder="1" applyAlignment="1">
      <alignment horizontal="center" vertical="center" wrapText="1"/>
    </xf>
    <xf numFmtId="4" fontId="4" fillId="33" borderId="44" xfId="0" applyNumberFormat="1" applyFont="1" applyFill="1" applyBorder="1" applyAlignment="1">
      <alignment horizontal="center" vertical="center" wrapText="1"/>
    </xf>
    <xf numFmtId="4" fontId="4" fillId="33" borderId="45" xfId="0" applyNumberFormat="1" applyFont="1" applyFill="1" applyBorder="1" applyAlignment="1">
      <alignment horizontal="center" vertical="center" wrapText="1"/>
    </xf>
    <xf numFmtId="4" fontId="4" fillId="33" borderId="23" xfId="0" applyNumberFormat="1" applyFont="1" applyFill="1" applyBorder="1" applyAlignment="1">
      <alignment horizontal="center" vertical="center" wrapText="1"/>
    </xf>
    <xf numFmtId="4" fontId="4" fillId="34" borderId="24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3" fillId="0" borderId="47" xfId="0" applyNumberFormat="1" applyFont="1" applyFill="1" applyBorder="1" applyAlignment="1">
      <alignment horizontal="center" vertical="center" wrapText="1"/>
    </xf>
    <xf numFmtId="1" fontId="4" fillId="0" borderId="48" xfId="0" applyNumberFormat="1" applyFont="1" applyFill="1" applyBorder="1" applyAlignment="1">
      <alignment horizontal="center" vertical="center" wrapText="1"/>
    </xf>
    <xf numFmtId="4" fontId="4" fillId="33" borderId="49" xfId="0" applyNumberFormat="1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4" fontId="3" fillId="0" borderId="50" xfId="0" applyNumberFormat="1" applyFont="1" applyFill="1" applyBorder="1" applyAlignment="1">
      <alignment horizontal="center" vertical="center" wrapText="1"/>
    </xf>
    <xf numFmtId="4" fontId="3" fillId="0" borderId="48" xfId="0" applyNumberFormat="1" applyFont="1" applyFill="1" applyBorder="1" applyAlignment="1">
      <alignment horizontal="center" vertical="center" wrapText="1"/>
    </xf>
    <xf numFmtId="4" fontId="3" fillId="36" borderId="47" xfId="0" applyNumberFormat="1" applyFont="1" applyFill="1" applyBorder="1" applyAlignment="1">
      <alignment horizontal="center" vertical="center" wrapText="1"/>
    </xf>
    <xf numFmtId="4" fontId="3" fillId="0" borderId="51" xfId="0" applyNumberFormat="1" applyFont="1" applyFill="1" applyBorder="1" applyAlignment="1">
      <alignment horizontal="center" vertical="center" wrapText="1"/>
    </xf>
    <xf numFmtId="4" fontId="4" fillId="34" borderId="49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69" fontId="4" fillId="33" borderId="17" xfId="0" applyNumberFormat="1" applyFont="1" applyFill="1" applyBorder="1" applyAlignment="1">
      <alignment horizontal="center" vertical="center" wrapText="1"/>
    </xf>
    <xf numFmtId="169" fontId="3" fillId="0" borderId="36" xfId="0" applyNumberFormat="1" applyFont="1" applyFill="1" applyBorder="1" applyAlignment="1">
      <alignment horizontal="center" vertical="center" wrapText="1"/>
    </xf>
    <xf numFmtId="165" fontId="3" fillId="0" borderId="22" xfId="0" applyNumberFormat="1" applyFont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36" xfId="0" applyNumberFormat="1" applyFont="1" applyBorder="1" applyAlignment="1">
      <alignment horizontal="center" vertical="center" wrapText="1"/>
    </xf>
    <xf numFmtId="170" fontId="3" fillId="0" borderId="21" xfId="0" applyNumberFormat="1" applyFont="1" applyFill="1" applyBorder="1" applyAlignment="1">
      <alignment horizontal="center" vertical="center" wrapText="1"/>
    </xf>
    <xf numFmtId="4" fontId="3" fillId="0" borderId="36" xfId="0" applyNumberFormat="1" applyFont="1" applyFill="1" applyBorder="1" applyAlignment="1">
      <alignment horizontal="center" vertical="center" wrapText="1"/>
    </xf>
    <xf numFmtId="4" fontId="4" fillId="34" borderId="17" xfId="0" applyNumberFormat="1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52" xfId="0" applyNumberFormat="1" applyFont="1" applyFill="1" applyBorder="1" applyAlignment="1">
      <alignment horizontal="center" vertical="center" wrapText="1"/>
    </xf>
    <xf numFmtId="4" fontId="4" fillId="33" borderId="53" xfId="0" applyNumberFormat="1" applyFont="1" applyFill="1" applyBorder="1" applyAlignment="1">
      <alignment horizontal="center" vertical="center" wrapText="1"/>
    </xf>
    <xf numFmtId="4" fontId="4" fillId="33" borderId="54" xfId="0" applyNumberFormat="1" applyFont="1" applyFill="1" applyBorder="1" applyAlignment="1">
      <alignment horizontal="center" vertical="center" wrapText="1"/>
    </xf>
    <xf numFmtId="4" fontId="4" fillId="33" borderId="38" xfId="0" applyNumberFormat="1" applyFont="1" applyFill="1" applyBorder="1" applyAlignment="1">
      <alignment horizontal="center" vertical="center" wrapText="1"/>
    </xf>
    <xf numFmtId="4" fontId="4" fillId="33" borderId="55" xfId="0" applyNumberFormat="1" applyFont="1" applyFill="1" applyBorder="1" applyAlignment="1">
      <alignment horizontal="center" vertical="center" wrapText="1"/>
    </xf>
    <xf numFmtId="4" fontId="4" fillId="34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04"/>
  <sheetViews>
    <sheetView view="pageBreakPreview" zoomScale="50" zoomScaleNormal="49" zoomScaleSheetLayoutView="50" zoomScalePageLayoutView="0" workbookViewId="0" topLeftCell="A1">
      <pane xSplit="2" ySplit="6" topLeftCell="Y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Z12" sqref="Z12"/>
    </sheetView>
  </sheetViews>
  <sheetFormatPr defaultColWidth="9.00390625" defaultRowHeight="12.75"/>
  <cols>
    <col min="1" max="1" width="11.125" style="5" customWidth="1"/>
    <col min="2" max="2" width="74.00390625" style="5" customWidth="1"/>
    <col min="3" max="3" width="11.125" style="5" customWidth="1"/>
    <col min="4" max="4" width="21.125" style="6" customWidth="1"/>
    <col min="5" max="5" width="22.125" style="92" customWidth="1"/>
    <col min="6" max="6" width="21.00390625" style="92" customWidth="1"/>
    <col min="7" max="7" width="19.75390625" style="92" customWidth="1"/>
    <col min="8" max="8" width="21.625" style="92" customWidth="1"/>
    <col min="9" max="9" width="21.25390625" style="92" customWidth="1"/>
    <col min="10" max="10" width="19.625" style="92" customWidth="1"/>
    <col min="11" max="11" width="21.75390625" style="6" customWidth="1"/>
    <col min="12" max="12" width="20.375" style="6" customWidth="1"/>
    <col min="13" max="13" width="16.625" style="6" customWidth="1"/>
    <col min="14" max="14" width="19.75390625" style="6" customWidth="1"/>
    <col min="15" max="15" width="18.00390625" style="6" customWidth="1"/>
    <col min="16" max="16" width="23.375" style="6" customWidth="1"/>
    <col min="17" max="17" width="20.25390625" style="6" customWidth="1"/>
    <col min="18" max="18" width="25.00390625" style="6" customWidth="1"/>
    <col min="19" max="19" width="23.625" style="6" customWidth="1"/>
    <col min="20" max="20" width="25.375" style="6" customWidth="1"/>
    <col min="21" max="21" width="25.625" style="6" customWidth="1"/>
    <col min="22" max="22" width="23.00390625" style="6" customWidth="1"/>
    <col min="23" max="24" width="26.625" style="6" customWidth="1"/>
    <col min="25" max="25" width="21.625" style="95" customWidth="1"/>
    <col min="26" max="26" width="27.25390625" style="92" customWidth="1"/>
    <col min="27" max="27" width="21.625" style="92" customWidth="1"/>
    <col min="28" max="28" width="20.125" style="92" customWidth="1"/>
    <col min="29" max="29" width="20.375" style="92" customWidth="1"/>
    <col min="30" max="30" width="20.875" style="92" customWidth="1"/>
    <col min="31" max="31" width="21.75390625" style="92" customWidth="1"/>
    <col min="32" max="32" width="17.375" style="6" customWidth="1"/>
    <col min="33" max="33" width="17.75390625" style="6" customWidth="1"/>
    <col min="34" max="34" width="17.875" style="6" customWidth="1"/>
    <col min="35" max="35" width="17.00390625" style="6" customWidth="1"/>
    <col min="36" max="36" width="16.125" style="6" customWidth="1"/>
    <col min="37" max="37" width="17.25390625" style="6" customWidth="1"/>
    <col min="38" max="38" width="19.625" style="6" customWidth="1"/>
    <col min="39" max="39" width="26.875" style="6" customWidth="1"/>
    <col min="40" max="40" width="24.375" style="6" customWidth="1"/>
    <col min="41" max="41" width="25.375" style="6" customWidth="1"/>
    <col min="42" max="42" width="25.625" style="6" customWidth="1"/>
    <col min="43" max="43" width="25.00390625" style="6" customWidth="1"/>
    <col min="44" max="45" width="26.25390625" style="6" customWidth="1"/>
    <col min="46" max="46" width="25.625" style="93" customWidth="1"/>
    <col min="47" max="48" width="23.875" style="6" customWidth="1"/>
    <col min="49" max="49" width="26.125" style="6" customWidth="1"/>
    <col min="50" max="50" width="23.875" style="6" customWidth="1"/>
    <col min="51" max="52" width="25.375" style="6" customWidth="1"/>
    <col min="53" max="65" width="9.125" style="4" customWidth="1"/>
    <col min="66" max="16384" width="9.125" style="5" customWidth="1"/>
  </cols>
  <sheetData>
    <row r="1" spans="1:52" ht="36" customHeight="1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1"/>
      <c r="AR1" s="1"/>
      <c r="AS1" s="1"/>
      <c r="AT1" s="2"/>
      <c r="AU1" s="3"/>
      <c r="AV1" s="3"/>
      <c r="AW1" s="3"/>
      <c r="AX1" s="3"/>
      <c r="AY1" s="3"/>
      <c r="AZ1" s="3"/>
    </row>
    <row r="2" spans="1:52" ht="30" customHeight="1">
      <c r="A2" s="215" t="s">
        <v>40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1"/>
      <c r="AR2" s="1"/>
      <c r="AS2" s="1"/>
      <c r="AT2" s="2"/>
      <c r="AU2" s="3"/>
      <c r="AV2" s="3"/>
      <c r="AW2" s="3"/>
      <c r="AX2" s="3"/>
      <c r="AY2" s="3"/>
      <c r="AZ2" s="3"/>
    </row>
    <row r="3" spans="1:46" ht="11.25" customHeight="1" thickBot="1">
      <c r="A3" s="1"/>
      <c r="B3" s="1"/>
      <c r="D3" s="3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2"/>
    </row>
    <row r="4" spans="1:65" s="8" customFormat="1" ht="30.75" customHeight="1">
      <c r="A4" s="216"/>
      <c r="B4" s="218" t="s">
        <v>7</v>
      </c>
      <c r="C4" s="218"/>
      <c r="D4" s="209" t="s">
        <v>30</v>
      </c>
      <c r="E4" s="210"/>
      <c r="F4" s="210"/>
      <c r="G4" s="210"/>
      <c r="H4" s="210"/>
      <c r="I4" s="220"/>
      <c r="J4" s="111"/>
      <c r="K4" s="209" t="s">
        <v>11</v>
      </c>
      <c r="L4" s="210"/>
      <c r="M4" s="210"/>
      <c r="N4" s="210"/>
      <c r="O4" s="210"/>
      <c r="P4" s="220"/>
      <c r="Q4" s="111"/>
      <c r="R4" s="209" t="s">
        <v>31</v>
      </c>
      <c r="S4" s="210"/>
      <c r="T4" s="210"/>
      <c r="U4" s="210"/>
      <c r="V4" s="210"/>
      <c r="W4" s="220"/>
      <c r="X4" s="111"/>
      <c r="Y4" s="209" t="s">
        <v>8</v>
      </c>
      <c r="Z4" s="210"/>
      <c r="AA4" s="210"/>
      <c r="AB4" s="210"/>
      <c r="AC4" s="210"/>
      <c r="AD4" s="210"/>
      <c r="AE4" s="220"/>
      <c r="AF4" s="221" t="s">
        <v>10</v>
      </c>
      <c r="AG4" s="222"/>
      <c r="AH4" s="222"/>
      <c r="AI4" s="222"/>
      <c r="AJ4" s="222"/>
      <c r="AK4" s="222"/>
      <c r="AL4" s="223"/>
      <c r="AM4" s="209" t="s">
        <v>32</v>
      </c>
      <c r="AN4" s="210"/>
      <c r="AO4" s="210"/>
      <c r="AP4" s="210"/>
      <c r="AQ4" s="210"/>
      <c r="AR4" s="210"/>
      <c r="AS4" s="210"/>
      <c r="AT4" s="211" t="s">
        <v>33</v>
      </c>
      <c r="AU4" s="210"/>
      <c r="AV4" s="210"/>
      <c r="AW4" s="210"/>
      <c r="AX4" s="210"/>
      <c r="AY4" s="210"/>
      <c r="AZ4" s="212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52" ht="50.25" customHeight="1">
      <c r="A5" s="217"/>
      <c r="B5" s="219"/>
      <c r="C5" s="219"/>
      <c r="D5" s="11" t="s">
        <v>6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12" t="s">
        <v>36</v>
      </c>
      <c r="K5" s="11" t="s">
        <v>6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36</v>
      </c>
      <c r="R5" s="11" t="s">
        <v>6</v>
      </c>
      <c r="S5" s="12" t="s">
        <v>12</v>
      </c>
      <c r="T5" s="12" t="s">
        <v>13</v>
      </c>
      <c r="U5" s="12" t="s">
        <v>14</v>
      </c>
      <c r="V5" s="12" t="s">
        <v>15</v>
      </c>
      <c r="W5" s="12" t="s">
        <v>16</v>
      </c>
      <c r="X5" s="12" t="s">
        <v>36</v>
      </c>
      <c r="Y5" s="11" t="s">
        <v>6</v>
      </c>
      <c r="Z5" s="12" t="s">
        <v>12</v>
      </c>
      <c r="AA5" s="12" t="s">
        <v>13</v>
      </c>
      <c r="AB5" s="12" t="s">
        <v>14</v>
      </c>
      <c r="AC5" s="12" t="s">
        <v>15</v>
      </c>
      <c r="AD5" s="12" t="s">
        <v>16</v>
      </c>
      <c r="AE5" s="12" t="s">
        <v>36</v>
      </c>
      <c r="AF5" s="11" t="s">
        <v>6</v>
      </c>
      <c r="AG5" s="12" t="s">
        <v>12</v>
      </c>
      <c r="AH5" s="12" t="s">
        <v>13</v>
      </c>
      <c r="AI5" s="12" t="s">
        <v>14</v>
      </c>
      <c r="AJ5" s="12" t="s">
        <v>15</v>
      </c>
      <c r="AK5" s="12" t="s">
        <v>16</v>
      </c>
      <c r="AL5" s="12" t="s">
        <v>36</v>
      </c>
      <c r="AM5" s="14" t="s">
        <v>6</v>
      </c>
      <c r="AN5" s="12" t="s">
        <v>12</v>
      </c>
      <c r="AO5" s="12" t="s">
        <v>13</v>
      </c>
      <c r="AP5" s="12" t="s">
        <v>14</v>
      </c>
      <c r="AQ5" s="12" t="s">
        <v>15</v>
      </c>
      <c r="AR5" s="12" t="s">
        <v>16</v>
      </c>
      <c r="AS5" s="112" t="s">
        <v>36</v>
      </c>
      <c r="AT5" s="114" t="s">
        <v>6</v>
      </c>
      <c r="AU5" s="16" t="s">
        <v>12</v>
      </c>
      <c r="AV5" s="16" t="s">
        <v>13</v>
      </c>
      <c r="AW5" s="16" t="s">
        <v>14</v>
      </c>
      <c r="AX5" s="16" t="s">
        <v>15</v>
      </c>
      <c r="AY5" s="16" t="s">
        <v>16</v>
      </c>
      <c r="AZ5" s="110" t="s">
        <v>36</v>
      </c>
    </row>
    <row r="6" spans="1:65" s="22" customFormat="1" ht="25.5" customHeight="1" thickBot="1">
      <c r="A6" s="17"/>
      <c r="B6" s="18">
        <v>2</v>
      </c>
      <c r="C6" s="18"/>
      <c r="D6" s="19">
        <v>3</v>
      </c>
      <c r="E6" s="18"/>
      <c r="F6" s="18"/>
      <c r="G6" s="18"/>
      <c r="H6" s="18"/>
      <c r="I6" s="18"/>
      <c r="J6" s="18"/>
      <c r="K6" s="19">
        <v>4</v>
      </c>
      <c r="L6" s="20"/>
      <c r="M6" s="20"/>
      <c r="N6" s="20"/>
      <c r="O6" s="20"/>
      <c r="P6" s="20"/>
      <c r="Q6" s="20"/>
      <c r="R6" s="19">
        <v>5</v>
      </c>
      <c r="S6" s="20"/>
      <c r="T6" s="20"/>
      <c r="U6" s="20"/>
      <c r="V6" s="20"/>
      <c r="W6" s="20"/>
      <c r="X6" s="20"/>
      <c r="Y6" s="19">
        <v>6</v>
      </c>
      <c r="Z6" s="18"/>
      <c r="AA6" s="18"/>
      <c r="AB6" s="18"/>
      <c r="AC6" s="18"/>
      <c r="AD6" s="18"/>
      <c r="AE6" s="18"/>
      <c r="AF6" s="19">
        <v>7</v>
      </c>
      <c r="AG6" s="20"/>
      <c r="AH6" s="20"/>
      <c r="AI6" s="20"/>
      <c r="AJ6" s="20"/>
      <c r="AK6" s="20"/>
      <c r="AL6" s="20"/>
      <c r="AM6" s="19">
        <v>8</v>
      </c>
      <c r="AN6" s="20"/>
      <c r="AO6" s="20"/>
      <c r="AP6" s="20"/>
      <c r="AQ6" s="20"/>
      <c r="AR6" s="20"/>
      <c r="AS6" s="113"/>
      <c r="AT6" s="115">
        <v>9</v>
      </c>
      <c r="AU6" s="116"/>
      <c r="AV6" s="116"/>
      <c r="AW6" s="116"/>
      <c r="AX6" s="116"/>
      <c r="AY6" s="116"/>
      <c r="AZ6" s="117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</row>
    <row r="7" spans="1:65" s="29" customFormat="1" ht="43.5" customHeight="1" thickBot="1">
      <c r="A7" s="23">
        <v>1</v>
      </c>
      <c r="B7" s="24" t="s">
        <v>2</v>
      </c>
      <c r="C7" s="24" t="s">
        <v>4</v>
      </c>
      <c r="D7" s="25">
        <f aca="true" t="shared" si="0" ref="D7:J7">SUM(D8:D18)</f>
        <v>15492.467450000002</v>
      </c>
      <c r="E7" s="25">
        <f t="shared" si="0"/>
        <v>1253.0825</v>
      </c>
      <c r="F7" s="25">
        <f t="shared" si="0"/>
        <v>7360.037249999999</v>
      </c>
      <c r="G7" s="25">
        <f t="shared" si="0"/>
        <v>2738.088</v>
      </c>
      <c r="H7" s="25">
        <f t="shared" si="0"/>
        <v>2324.3502</v>
      </c>
      <c r="I7" s="25">
        <f t="shared" si="0"/>
        <v>1529.3245000000002</v>
      </c>
      <c r="J7" s="25">
        <f t="shared" si="0"/>
        <v>287.585</v>
      </c>
      <c r="K7" s="27">
        <f aca="true" t="shared" si="1" ref="K7:P7">R7/D7</f>
        <v>2256.3625260351923</v>
      </c>
      <c r="L7" s="27">
        <f t="shared" si="1"/>
        <v>2750.095807738118</v>
      </c>
      <c r="M7" s="27">
        <f t="shared" si="1"/>
        <v>1810.953550540794</v>
      </c>
      <c r="N7" s="27">
        <f t="shared" si="1"/>
        <v>2717.5230087564755</v>
      </c>
      <c r="O7" s="27">
        <f t="shared" si="1"/>
        <v>2682.3170019732825</v>
      </c>
      <c r="P7" s="27">
        <f t="shared" si="1"/>
        <v>2677.4219271318807</v>
      </c>
      <c r="Q7" s="27">
        <f>Y7/J7</f>
        <v>53.60768340132671</v>
      </c>
      <c r="R7" s="27">
        <f aca="true" t="shared" si="2" ref="R7:AE7">SUM(R8:R18)</f>
        <v>34956622.99</v>
      </c>
      <c r="S7" s="27">
        <f t="shared" si="2"/>
        <v>3446096.93</v>
      </c>
      <c r="T7" s="27">
        <f t="shared" si="2"/>
        <v>13328685.59</v>
      </c>
      <c r="U7" s="27">
        <f t="shared" si="2"/>
        <v>7440817.140000001</v>
      </c>
      <c r="V7" s="27">
        <f t="shared" si="2"/>
        <v>6234644.06</v>
      </c>
      <c r="W7" s="27">
        <f t="shared" si="2"/>
        <v>4094646.95</v>
      </c>
      <c r="X7" s="27">
        <f t="shared" si="2"/>
        <v>411732.31999999995</v>
      </c>
      <c r="Y7" s="59">
        <f t="shared" si="2"/>
        <v>15416.765630970542</v>
      </c>
      <c r="Z7" s="59">
        <f t="shared" si="2"/>
        <v>1228.0407502350513</v>
      </c>
      <c r="AA7" s="59">
        <f t="shared" si="2"/>
        <v>7342.1743155390905</v>
      </c>
      <c r="AB7" s="59">
        <f t="shared" si="2"/>
        <v>2725.2934402648643</v>
      </c>
      <c r="AC7" s="59">
        <f t="shared" si="2"/>
        <v>2304.366221743637</v>
      </c>
      <c r="AD7" s="59">
        <f t="shared" si="2"/>
        <v>1529.3073263634974</v>
      </c>
      <c r="AE7" s="59">
        <f t="shared" si="2"/>
        <v>287.58357682440135</v>
      </c>
      <c r="AF7" s="28">
        <f>AM7/Y7</f>
        <v>1242.137016179992</v>
      </c>
      <c r="AG7" s="28">
        <f>AG12</f>
        <v>1244.41</v>
      </c>
      <c r="AH7" s="28">
        <f>AH12</f>
        <v>1244.41</v>
      </c>
      <c r="AI7" s="28">
        <f>AI12</f>
        <v>1244.41</v>
      </c>
      <c r="AJ7" s="28">
        <f>AJ12</f>
        <v>1244.41</v>
      </c>
      <c r="AK7" s="27">
        <f>AK12</f>
        <v>1244.41</v>
      </c>
      <c r="AL7" s="27">
        <f>AL17</f>
        <v>1122.56</v>
      </c>
      <c r="AM7" s="27">
        <f aca="true" t="shared" si="3" ref="AM7:AZ7">SUM(AM8:AM18)</f>
        <v>19149735.26</v>
      </c>
      <c r="AN7" s="27">
        <f t="shared" si="3"/>
        <v>1528186.19</v>
      </c>
      <c r="AO7" s="27">
        <f t="shared" si="3"/>
        <v>9136675.14</v>
      </c>
      <c r="AP7" s="27">
        <f t="shared" si="3"/>
        <v>3391382.41</v>
      </c>
      <c r="AQ7" s="27">
        <f t="shared" si="3"/>
        <v>2867576.3699999996</v>
      </c>
      <c r="AR7" s="27">
        <f t="shared" si="3"/>
        <v>1903085.33</v>
      </c>
      <c r="AS7" s="27">
        <f t="shared" si="3"/>
        <v>322829.82</v>
      </c>
      <c r="AT7" s="118">
        <f t="shared" si="3"/>
        <v>15712709.001826497</v>
      </c>
      <c r="AU7" s="27">
        <f t="shared" si="3"/>
        <v>1886752.072055</v>
      </c>
      <c r="AV7" s="27">
        <f t="shared" si="3"/>
        <v>4169784.1922124987</v>
      </c>
      <c r="AW7" s="27">
        <f t="shared" si="3"/>
        <v>4033521.4067220003</v>
      </c>
      <c r="AX7" s="27">
        <f t="shared" si="3"/>
        <v>3342206.396082</v>
      </c>
      <c r="AY7" s="27">
        <f t="shared" si="3"/>
        <v>2191544.258355</v>
      </c>
      <c r="AZ7" s="27">
        <f t="shared" si="3"/>
        <v>88900.67640000004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</row>
    <row r="8" spans="1:52" ht="53.25" customHeight="1">
      <c r="A8" s="38"/>
      <c r="B8" s="47" t="s">
        <v>20</v>
      </c>
      <c r="C8" s="48"/>
      <c r="D8" s="49">
        <f aca="true" t="shared" si="4" ref="D8:D16">SUM(E8:I8)</f>
        <v>50.936</v>
      </c>
      <c r="E8" s="45">
        <f>ROUND(S8/L8,4)</f>
        <v>50.936</v>
      </c>
      <c r="F8" s="45"/>
      <c r="G8" s="45"/>
      <c r="H8" s="45"/>
      <c r="I8" s="45"/>
      <c r="J8" s="45"/>
      <c r="K8" s="14">
        <f aca="true" t="shared" si="5" ref="K8:K31">R8/D8</f>
        <v>4349.751452803518</v>
      </c>
      <c r="L8" s="13">
        <v>4349.75</v>
      </c>
      <c r="M8" s="37"/>
      <c r="N8" s="37"/>
      <c r="O8" s="37"/>
      <c r="P8" s="50"/>
      <c r="Q8" s="13"/>
      <c r="R8" s="15">
        <f aca="true" t="shared" si="6" ref="R8:R16">SUM(S8:W8)</f>
        <v>221558.94</v>
      </c>
      <c r="S8" s="50">
        <v>221558.94</v>
      </c>
      <c r="T8" s="50"/>
      <c r="U8" s="50"/>
      <c r="V8" s="50"/>
      <c r="W8" s="50"/>
      <c r="X8" s="13"/>
      <c r="Y8" s="67">
        <f aca="true" t="shared" si="7" ref="Y8:Y16">SUM(Z8:AD8)</f>
        <v>51.76160590159192</v>
      </c>
      <c r="Z8" s="97">
        <f>AN8/AG8</f>
        <v>51.76160590159192</v>
      </c>
      <c r="AA8" s="97"/>
      <c r="AB8" s="97"/>
      <c r="AC8" s="97"/>
      <c r="AD8" s="97"/>
      <c r="AE8" s="97"/>
      <c r="AF8" s="14">
        <f>AG8</f>
        <v>1244.41</v>
      </c>
      <c r="AG8" s="13">
        <v>1244.41</v>
      </c>
      <c r="AH8" s="13"/>
      <c r="AI8" s="13"/>
      <c r="AJ8" s="13"/>
      <c r="AK8" s="13"/>
      <c r="AL8" s="37"/>
      <c r="AM8" s="15">
        <f aca="true" t="shared" si="8" ref="AM8:AM16">SUM(AN8:AR8)</f>
        <v>64412.66</v>
      </c>
      <c r="AN8" s="50">
        <v>64412.66</v>
      </c>
      <c r="AO8" s="50"/>
      <c r="AP8" s="50"/>
      <c r="AQ8" s="50"/>
      <c r="AR8" s="50"/>
      <c r="AS8" s="13"/>
      <c r="AT8" s="15">
        <f aca="true" t="shared" si="9" ref="AT8:AT16">SUM(AU8:AY8)</f>
        <v>158173.59824000002</v>
      </c>
      <c r="AU8" s="37">
        <f>(L8-AG8)*E8</f>
        <v>158173.59824000002</v>
      </c>
      <c r="AV8" s="37"/>
      <c r="AW8" s="37"/>
      <c r="AX8" s="37"/>
      <c r="AY8" s="37"/>
      <c r="AZ8" s="13"/>
    </row>
    <row r="9" spans="1:52" ht="53.25" customHeight="1">
      <c r="A9" s="38"/>
      <c r="B9" s="47" t="s">
        <v>21</v>
      </c>
      <c r="C9" s="48"/>
      <c r="D9" s="49">
        <f t="shared" si="4"/>
        <v>81.311</v>
      </c>
      <c r="E9" s="45"/>
      <c r="F9" s="45"/>
      <c r="G9" s="45">
        <f>ROUND(U9/N9,3)</f>
        <v>81.311</v>
      </c>
      <c r="H9" s="45"/>
      <c r="I9" s="45"/>
      <c r="J9" s="45"/>
      <c r="K9" s="14">
        <f t="shared" si="5"/>
        <v>4276.614972143991</v>
      </c>
      <c r="L9" s="13"/>
      <c r="M9" s="37"/>
      <c r="N9" s="37">
        <v>4276.62</v>
      </c>
      <c r="O9" s="53"/>
      <c r="P9" s="50"/>
      <c r="Q9" s="13"/>
      <c r="R9" s="15">
        <f t="shared" si="6"/>
        <v>347735.84</v>
      </c>
      <c r="S9" s="50"/>
      <c r="T9" s="50"/>
      <c r="U9" s="50">
        <v>347735.84</v>
      </c>
      <c r="V9" s="50"/>
      <c r="W9" s="50"/>
      <c r="X9" s="13"/>
      <c r="Y9" s="67">
        <f t="shared" si="7"/>
        <v>81.3108621756495</v>
      </c>
      <c r="Z9" s="97"/>
      <c r="AA9" s="97"/>
      <c r="AB9" s="97">
        <f>AP9/AI9</f>
        <v>81.3108621756495</v>
      </c>
      <c r="AC9" s="97"/>
      <c r="AD9" s="97"/>
      <c r="AE9" s="97"/>
      <c r="AF9" s="14">
        <f>AI9</f>
        <v>1244.41</v>
      </c>
      <c r="AG9" s="13"/>
      <c r="AH9" s="13"/>
      <c r="AI9" s="13">
        <v>1244.41</v>
      </c>
      <c r="AJ9" s="13"/>
      <c r="AK9" s="13"/>
      <c r="AL9" s="37"/>
      <c r="AM9" s="15">
        <f t="shared" si="8"/>
        <v>101184.05</v>
      </c>
      <c r="AN9" s="50"/>
      <c r="AO9" s="50"/>
      <c r="AP9" s="50">
        <v>101184.05</v>
      </c>
      <c r="AQ9" s="50"/>
      <c r="AR9" s="50"/>
      <c r="AS9" s="13"/>
      <c r="AT9" s="15">
        <f t="shared" si="9"/>
        <v>246552.02731000003</v>
      </c>
      <c r="AU9" s="37"/>
      <c r="AV9" s="37"/>
      <c r="AW9" s="37">
        <f>(N9-AI9)*G9</f>
        <v>246552.02731000003</v>
      </c>
      <c r="AX9" s="37"/>
      <c r="AY9" s="37"/>
      <c r="AZ9" s="13"/>
    </row>
    <row r="10" spans="1:52" ht="54.75" customHeight="1">
      <c r="A10" s="40"/>
      <c r="B10" s="54" t="s">
        <v>43</v>
      </c>
      <c r="C10" s="40"/>
      <c r="D10" s="49">
        <f t="shared" si="4"/>
        <v>1665.468</v>
      </c>
      <c r="E10" s="45"/>
      <c r="F10" s="45">
        <f>ROUND(T10/M10,4)</f>
        <v>1665.468</v>
      </c>
      <c r="G10" s="45"/>
      <c r="H10" s="45"/>
      <c r="I10" s="45"/>
      <c r="J10" s="45"/>
      <c r="K10" s="14">
        <f t="shared" si="5"/>
        <v>1721.609997910497</v>
      </c>
      <c r="L10" s="13"/>
      <c r="M10" s="37">
        <v>1721.61</v>
      </c>
      <c r="N10" s="37"/>
      <c r="O10" s="37"/>
      <c r="P10" s="13"/>
      <c r="Q10" s="37"/>
      <c r="R10" s="15">
        <f t="shared" si="6"/>
        <v>2867286.36</v>
      </c>
      <c r="S10" s="13"/>
      <c r="T10" s="13">
        <v>2867286.36</v>
      </c>
      <c r="U10" s="13"/>
      <c r="V10" s="13"/>
      <c r="W10" s="13"/>
      <c r="X10" s="37"/>
      <c r="Y10" s="67">
        <f t="shared" si="7"/>
        <v>1665.4676674086516</v>
      </c>
      <c r="Z10" s="97"/>
      <c r="AA10" s="97">
        <f>AO10/AH10</f>
        <v>1665.4676674086516</v>
      </c>
      <c r="AB10" s="97"/>
      <c r="AC10" s="97"/>
      <c r="AD10" s="97"/>
      <c r="AE10" s="97"/>
      <c r="AF10" s="14">
        <f>AH10</f>
        <v>1244.41</v>
      </c>
      <c r="AG10" s="13"/>
      <c r="AH10" s="13">
        <v>1244.41</v>
      </c>
      <c r="AI10" s="13"/>
      <c r="AJ10" s="13"/>
      <c r="AK10" s="13"/>
      <c r="AL10" s="37"/>
      <c r="AM10" s="15">
        <f t="shared" si="8"/>
        <v>2072524.62</v>
      </c>
      <c r="AN10" s="13"/>
      <c r="AO10" s="13">
        <v>2072524.62</v>
      </c>
      <c r="AP10" s="13"/>
      <c r="AQ10" s="13"/>
      <c r="AR10" s="13"/>
      <c r="AS10" s="13"/>
      <c r="AT10" s="15">
        <f t="shared" si="9"/>
        <v>794761.3295999997</v>
      </c>
      <c r="AU10" s="37"/>
      <c r="AV10" s="37">
        <f>(M10-AH10)*F10</f>
        <v>794761.3295999997</v>
      </c>
      <c r="AW10" s="37"/>
      <c r="AX10" s="37"/>
      <c r="AY10" s="37"/>
      <c r="AZ10" s="13"/>
    </row>
    <row r="11" spans="1:52" ht="42" customHeight="1">
      <c r="A11" s="40"/>
      <c r="B11" s="54" t="s">
        <v>22</v>
      </c>
      <c r="C11" s="40"/>
      <c r="D11" s="41">
        <f t="shared" si="4"/>
        <v>15.106</v>
      </c>
      <c r="E11" s="42"/>
      <c r="F11" s="42"/>
      <c r="G11" s="45">
        <f>ROUND(U11/N11,4)</f>
        <v>15.106</v>
      </c>
      <c r="H11" s="42"/>
      <c r="I11" s="42"/>
      <c r="J11" s="42"/>
      <c r="K11" s="14">
        <f t="shared" si="5"/>
        <v>1524.9377730703031</v>
      </c>
      <c r="L11" s="13"/>
      <c r="M11" s="13"/>
      <c r="N11" s="13">
        <v>1524.94</v>
      </c>
      <c r="O11" s="13"/>
      <c r="P11" s="13"/>
      <c r="Q11" s="13"/>
      <c r="R11" s="14">
        <f t="shared" si="6"/>
        <v>23035.71</v>
      </c>
      <c r="S11" s="13"/>
      <c r="T11" s="13"/>
      <c r="U11" s="13">
        <v>23035.71</v>
      </c>
      <c r="V11" s="13"/>
      <c r="W11" s="13"/>
      <c r="X11" s="13"/>
      <c r="Y11" s="64">
        <f t="shared" si="7"/>
        <v>16.047211128165156</v>
      </c>
      <c r="Z11" s="65"/>
      <c r="AA11" s="65"/>
      <c r="AB11" s="65">
        <f>AP11/AI11</f>
        <v>16.047211128165156</v>
      </c>
      <c r="AC11" s="65"/>
      <c r="AD11" s="65"/>
      <c r="AE11" s="65"/>
      <c r="AF11" s="14">
        <f>AI11</f>
        <v>1244.41</v>
      </c>
      <c r="AG11" s="13"/>
      <c r="AH11" s="13"/>
      <c r="AI11" s="13">
        <v>1244.41</v>
      </c>
      <c r="AJ11" s="13"/>
      <c r="AK11" s="13"/>
      <c r="AL11" s="13"/>
      <c r="AM11" s="14">
        <f t="shared" si="8"/>
        <v>19969.31</v>
      </c>
      <c r="AN11" s="13"/>
      <c r="AO11" s="13"/>
      <c r="AP11" s="13">
        <v>19969.31</v>
      </c>
      <c r="AQ11" s="13"/>
      <c r="AR11" s="13"/>
      <c r="AS11" s="13"/>
      <c r="AT11" s="14">
        <f t="shared" si="9"/>
        <v>4237.68618</v>
      </c>
      <c r="AU11" s="37"/>
      <c r="AV11" s="37"/>
      <c r="AW11" s="37">
        <f>(N11-AI11)*G11</f>
        <v>4237.68618</v>
      </c>
      <c r="AX11" s="37"/>
      <c r="AY11" s="37"/>
      <c r="AZ11" s="13"/>
    </row>
    <row r="12" spans="1:52" ht="33" customHeight="1">
      <c r="A12" s="30"/>
      <c r="B12" s="31" t="s">
        <v>17</v>
      </c>
      <c r="C12" s="32"/>
      <c r="D12" s="33">
        <f t="shared" si="4"/>
        <v>8765.6839</v>
      </c>
      <c r="E12" s="45">
        <v>1202.1465</v>
      </c>
      <c r="F12" s="45">
        <v>1222.6815</v>
      </c>
      <c r="G12" s="45">
        <v>2630.7152</v>
      </c>
      <c r="H12" s="45">
        <v>2324.3502</v>
      </c>
      <c r="I12" s="45">
        <v>1385.7905</v>
      </c>
      <c r="J12" s="34"/>
      <c r="K12" s="35">
        <f t="shared" si="5"/>
        <v>2682.316999817892</v>
      </c>
      <c r="L12" s="36">
        <v>2682.32</v>
      </c>
      <c r="M12" s="36">
        <f>L12</f>
        <v>2682.32</v>
      </c>
      <c r="N12" s="36">
        <f>L12</f>
        <v>2682.32</v>
      </c>
      <c r="O12" s="36">
        <f>L12</f>
        <v>2682.32</v>
      </c>
      <c r="P12" s="36">
        <f>L12</f>
        <v>2682.32</v>
      </c>
      <c r="Q12" s="36"/>
      <c r="R12" s="35">
        <f t="shared" si="6"/>
        <v>23512342.939999998</v>
      </c>
      <c r="S12" s="36">
        <v>3224537.99</v>
      </c>
      <c r="T12" s="36">
        <v>3279619.36</v>
      </c>
      <c r="U12" s="36">
        <v>7056412.11</v>
      </c>
      <c r="V12" s="36">
        <v>6234644.06</v>
      </c>
      <c r="W12" s="36">
        <v>3717129.42</v>
      </c>
      <c r="X12" s="36"/>
      <c r="Y12" s="62">
        <f t="shared" si="7"/>
        <v>8685.573082826399</v>
      </c>
      <c r="Z12" s="34">
        <f>AN12/AG12</f>
        <v>1176.2791443334593</v>
      </c>
      <c r="AA12" s="34">
        <f>AO12/AH12</f>
        <v>1200.6599995178437</v>
      </c>
      <c r="AB12" s="34">
        <f>AP12/AI12</f>
        <v>2618.494684227867</v>
      </c>
      <c r="AC12" s="34">
        <f>AQ12/AJ12</f>
        <v>2304.366221743637</v>
      </c>
      <c r="AD12" s="34">
        <f>AR12/AK12</f>
        <v>1385.773033003592</v>
      </c>
      <c r="AE12" s="34"/>
      <c r="AF12" s="15">
        <f>AG12</f>
        <v>1244.41</v>
      </c>
      <c r="AG12" s="37">
        <v>1244.41</v>
      </c>
      <c r="AH12" s="37">
        <v>1244.41</v>
      </c>
      <c r="AI12" s="37">
        <v>1244.41</v>
      </c>
      <c r="AJ12" s="37">
        <v>1244.41</v>
      </c>
      <c r="AK12" s="37">
        <v>1244.41</v>
      </c>
      <c r="AL12" s="36"/>
      <c r="AM12" s="35">
        <f t="shared" si="8"/>
        <v>10808414</v>
      </c>
      <c r="AN12" s="36">
        <f>664231.68+799541.85</f>
        <v>1463773.53</v>
      </c>
      <c r="AO12" s="36">
        <f>703818.13+417711.12+372584.06</f>
        <v>1494113.31</v>
      </c>
      <c r="AP12" s="36">
        <f>1243212.12+2015268.85</f>
        <v>3258480.97</v>
      </c>
      <c r="AQ12" s="36">
        <f>1966.62+1690777.99+872444.19+302387.57</f>
        <v>2867576.3699999996</v>
      </c>
      <c r="AR12" s="36">
        <f>1724469.82</f>
        <v>1724469.82</v>
      </c>
      <c r="AS12" s="36"/>
      <c r="AT12" s="35">
        <f t="shared" si="9"/>
        <v>12604264.536649</v>
      </c>
      <c r="AU12" s="37">
        <f>(L12-AG12)*E12</f>
        <v>1728578.4738150002</v>
      </c>
      <c r="AV12" s="37">
        <f>(M12-AH12)*F12</f>
        <v>1758105.955665</v>
      </c>
      <c r="AW12" s="37">
        <f>(N12-AI12)*G12</f>
        <v>3782731.6932320003</v>
      </c>
      <c r="AX12" s="37">
        <f>(O12-AJ12)*H12</f>
        <v>3342206.396082</v>
      </c>
      <c r="AY12" s="37">
        <f>(P12-AK12)*I12</f>
        <v>1992642.0178550002</v>
      </c>
      <c r="AZ12" s="37"/>
    </row>
    <row r="13" spans="1:52" ht="63.75" customHeight="1">
      <c r="A13" s="38"/>
      <c r="B13" s="39" t="s">
        <v>42</v>
      </c>
      <c r="C13" s="40"/>
      <c r="D13" s="41">
        <f t="shared" si="4"/>
        <v>143.534</v>
      </c>
      <c r="E13" s="42"/>
      <c r="F13" s="42"/>
      <c r="G13" s="42"/>
      <c r="H13" s="42"/>
      <c r="I13" s="45">
        <v>143.534</v>
      </c>
      <c r="J13" s="42"/>
      <c r="K13" s="14">
        <f t="shared" si="5"/>
        <v>2630.1610071481323</v>
      </c>
      <c r="L13" s="13"/>
      <c r="M13" s="13"/>
      <c r="N13" s="13"/>
      <c r="O13" s="13"/>
      <c r="P13" s="13">
        <v>2630.16</v>
      </c>
      <c r="Q13" s="13"/>
      <c r="R13" s="14">
        <f t="shared" si="6"/>
        <v>377517.53</v>
      </c>
      <c r="S13" s="13"/>
      <c r="T13" s="13"/>
      <c r="U13" s="13"/>
      <c r="V13" s="13"/>
      <c r="W13" s="13">
        <v>377517.53</v>
      </c>
      <c r="X13" s="13"/>
      <c r="Y13" s="64">
        <f t="shared" si="7"/>
        <v>143.5342933599055</v>
      </c>
      <c r="Z13" s="65"/>
      <c r="AA13" s="65"/>
      <c r="AB13" s="65"/>
      <c r="AC13" s="65"/>
      <c r="AD13" s="65">
        <f>AR13/AK13</f>
        <v>143.5342933599055</v>
      </c>
      <c r="AE13" s="65"/>
      <c r="AF13" s="14">
        <f>AK13</f>
        <v>1244.41</v>
      </c>
      <c r="AG13" s="13"/>
      <c r="AH13" s="13"/>
      <c r="AI13" s="13"/>
      <c r="AJ13" s="13"/>
      <c r="AK13" s="13">
        <v>1244.41</v>
      </c>
      <c r="AL13" s="13"/>
      <c r="AM13" s="14">
        <f t="shared" si="8"/>
        <v>178615.51</v>
      </c>
      <c r="AN13" s="13"/>
      <c r="AO13" s="13"/>
      <c r="AP13" s="13"/>
      <c r="AQ13" s="13"/>
      <c r="AR13" s="13">
        <v>178615.51</v>
      </c>
      <c r="AS13" s="13"/>
      <c r="AT13" s="14">
        <f t="shared" si="9"/>
        <v>198902.24049999996</v>
      </c>
      <c r="AU13" s="37"/>
      <c r="AV13" s="37"/>
      <c r="AW13" s="37"/>
      <c r="AX13" s="37"/>
      <c r="AY13" s="37">
        <f>(P13-AK13)*I13</f>
        <v>198902.24049999996</v>
      </c>
      <c r="AZ13" s="13"/>
    </row>
    <row r="14" spans="1:52" ht="37.5" customHeight="1">
      <c r="A14" s="38"/>
      <c r="B14" s="54" t="s">
        <v>23</v>
      </c>
      <c r="C14" s="40"/>
      <c r="D14" s="49">
        <f t="shared" si="4"/>
        <v>243.674</v>
      </c>
      <c r="E14" s="45"/>
      <c r="F14" s="45">
        <v>243.674</v>
      </c>
      <c r="G14" s="45"/>
      <c r="H14" s="45"/>
      <c r="I14" s="45"/>
      <c r="J14" s="45"/>
      <c r="K14" s="14">
        <f t="shared" si="5"/>
        <v>1664.3546295460328</v>
      </c>
      <c r="L14" s="13"/>
      <c r="M14" s="37">
        <v>1664.35</v>
      </c>
      <c r="N14" s="37"/>
      <c r="O14" s="37"/>
      <c r="P14" s="13"/>
      <c r="Q14" s="37"/>
      <c r="R14" s="15">
        <f t="shared" si="6"/>
        <v>405559.95</v>
      </c>
      <c r="S14" s="13"/>
      <c r="T14" s="13">
        <v>405559.95</v>
      </c>
      <c r="U14" s="13"/>
      <c r="V14" s="13"/>
      <c r="W14" s="13"/>
      <c r="X14" s="13"/>
      <c r="Y14" s="67">
        <f t="shared" si="7"/>
        <v>243.67415883832498</v>
      </c>
      <c r="Z14" s="97"/>
      <c r="AA14" s="97">
        <f>AO14/AH14</f>
        <v>243.67415883832498</v>
      </c>
      <c r="AB14" s="97"/>
      <c r="AC14" s="97"/>
      <c r="AD14" s="97"/>
      <c r="AE14" s="97"/>
      <c r="AF14" s="14">
        <f>AH14</f>
        <v>1244.41</v>
      </c>
      <c r="AG14" s="13"/>
      <c r="AH14" s="13">
        <v>1244.41</v>
      </c>
      <c r="AI14" s="13"/>
      <c r="AJ14" s="13"/>
      <c r="AK14" s="13"/>
      <c r="AL14" s="37"/>
      <c r="AM14" s="15">
        <f t="shared" si="8"/>
        <v>303230.56</v>
      </c>
      <c r="AN14" s="13"/>
      <c r="AO14" s="13">
        <v>303230.56</v>
      </c>
      <c r="AP14" s="13"/>
      <c r="AQ14" s="13"/>
      <c r="AR14" s="13"/>
      <c r="AS14" s="13"/>
      <c r="AT14" s="15">
        <f t="shared" si="9"/>
        <v>102328.45955999996</v>
      </c>
      <c r="AU14" s="37"/>
      <c r="AV14" s="37">
        <f>(M14-AH14)*F14</f>
        <v>102328.45955999996</v>
      </c>
      <c r="AW14" s="37"/>
      <c r="AX14" s="37"/>
      <c r="AY14" s="37"/>
      <c r="AZ14" s="13"/>
    </row>
    <row r="15" spans="1:52" ht="35.25" customHeight="1">
      <c r="A15" s="38"/>
      <c r="B15" s="39" t="s">
        <v>18</v>
      </c>
      <c r="C15" s="40"/>
      <c r="D15" s="41">
        <f t="shared" si="4"/>
        <v>10.9558</v>
      </c>
      <c r="E15" s="42"/>
      <c r="F15" s="42"/>
      <c r="G15" s="45">
        <f>ROUND(U15/N15,4)</f>
        <v>10.9558</v>
      </c>
      <c r="H15" s="42"/>
      <c r="I15" s="42"/>
      <c r="J15" s="42"/>
      <c r="K15" s="14">
        <f t="shared" si="5"/>
        <v>1244.4075284324285</v>
      </c>
      <c r="L15" s="13"/>
      <c r="M15" s="13"/>
      <c r="N15" s="13">
        <v>1244.41</v>
      </c>
      <c r="O15" s="13"/>
      <c r="P15" s="13"/>
      <c r="Q15" s="13"/>
      <c r="R15" s="14">
        <f t="shared" si="6"/>
        <v>13633.48</v>
      </c>
      <c r="S15" s="13"/>
      <c r="T15" s="13"/>
      <c r="U15" s="13">
        <v>13633.48</v>
      </c>
      <c r="V15" s="13"/>
      <c r="W15" s="13"/>
      <c r="X15" s="13"/>
      <c r="Y15" s="64">
        <f t="shared" si="7"/>
        <v>9.440682733182793</v>
      </c>
      <c r="Z15" s="65"/>
      <c r="AA15" s="65"/>
      <c r="AB15" s="65">
        <f>AP15/AI15</f>
        <v>9.440682733182793</v>
      </c>
      <c r="AC15" s="65"/>
      <c r="AD15" s="65"/>
      <c r="AE15" s="65"/>
      <c r="AF15" s="14">
        <f>AI15</f>
        <v>1244.41</v>
      </c>
      <c r="AG15" s="13"/>
      <c r="AH15" s="13"/>
      <c r="AI15" s="13">
        <v>1244.41</v>
      </c>
      <c r="AJ15" s="13"/>
      <c r="AK15" s="13"/>
      <c r="AL15" s="13"/>
      <c r="AM15" s="14">
        <f t="shared" si="8"/>
        <v>11748.08</v>
      </c>
      <c r="AN15" s="13"/>
      <c r="AO15" s="13"/>
      <c r="AP15" s="13">
        <v>11748.08</v>
      </c>
      <c r="AQ15" s="13"/>
      <c r="AR15" s="13"/>
      <c r="AS15" s="13"/>
      <c r="AT15" s="14">
        <f t="shared" si="9"/>
        <v>0</v>
      </c>
      <c r="AU15" s="37"/>
      <c r="AV15" s="37"/>
      <c r="AW15" s="37">
        <f>(N15-AI15)*G15</f>
        <v>0</v>
      </c>
      <c r="AX15" s="37"/>
      <c r="AY15" s="37"/>
      <c r="AZ15" s="13"/>
    </row>
    <row r="16" spans="1:52" ht="56.25" customHeight="1">
      <c r="A16" s="9"/>
      <c r="B16" s="43" t="s">
        <v>41</v>
      </c>
      <c r="C16" s="32"/>
      <c r="D16" s="49">
        <f t="shared" si="4"/>
        <v>4228.21375</v>
      </c>
      <c r="E16" s="45"/>
      <c r="F16" s="45">
        <v>4228.21375</v>
      </c>
      <c r="G16" s="45"/>
      <c r="H16" s="45"/>
      <c r="I16" s="45"/>
      <c r="J16" s="45"/>
      <c r="K16" s="14">
        <f t="shared" si="5"/>
        <v>1602.6199999940873</v>
      </c>
      <c r="L16" s="36"/>
      <c r="M16" s="37">
        <v>1602.62</v>
      </c>
      <c r="N16" s="37"/>
      <c r="O16" s="37"/>
      <c r="P16" s="36"/>
      <c r="Q16" s="13"/>
      <c r="R16" s="15">
        <f t="shared" si="6"/>
        <v>6776219.92</v>
      </c>
      <c r="S16" s="36"/>
      <c r="T16" s="36">
        <v>6776219.92</v>
      </c>
      <c r="U16" s="36"/>
      <c r="V16" s="36"/>
      <c r="W16" s="36"/>
      <c r="X16" s="13"/>
      <c r="Y16" s="67">
        <f t="shared" si="7"/>
        <v>4232.37248977427</v>
      </c>
      <c r="Z16" s="97"/>
      <c r="AA16" s="97">
        <f>AO16/AH16</f>
        <v>4232.37248977427</v>
      </c>
      <c r="AB16" s="97"/>
      <c r="AC16" s="97"/>
      <c r="AD16" s="97"/>
      <c r="AE16" s="97"/>
      <c r="AF16" s="14">
        <f>AH16</f>
        <v>1244.41</v>
      </c>
      <c r="AG16" s="13"/>
      <c r="AH16" s="13">
        <v>1244.41</v>
      </c>
      <c r="AI16" s="13"/>
      <c r="AJ16" s="13"/>
      <c r="AK16" s="13"/>
      <c r="AL16" s="37"/>
      <c r="AM16" s="15">
        <f t="shared" si="8"/>
        <v>5266806.65</v>
      </c>
      <c r="AN16" s="36"/>
      <c r="AO16" s="36">
        <f>461341.24+4805465.41</f>
        <v>5266806.65</v>
      </c>
      <c r="AP16" s="36"/>
      <c r="AQ16" s="36"/>
      <c r="AR16" s="36"/>
      <c r="AS16" s="13"/>
      <c r="AT16" s="15">
        <f t="shared" si="9"/>
        <v>1514588.4473874993</v>
      </c>
      <c r="AU16" s="37"/>
      <c r="AV16" s="37">
        <f>(M16-AH16)*F16</f>
        <v>1514588.4473874993</v>
      </c>
      <c r="AW16" s="37"/>
      <c r="AX16" s="37"/>
      <c r="AY16" s="37"/>
      <c r="AZ16" s="13"/>
    </row>
    <row r="17" spans="1:52" ht="58.5" customHeight="1">
      <c r="A17" s="38">
        <v>36</v>
      </c>
      <c r="B17" s="39" t="s">
        <v>37</v>
      </c>
      <c r="C17" s="106"/>
      <c r="D17" s="41">
        <f>SUM(E17:J17)</f>
        <v>45.86</v>
      </c>
      <c r="E17" s="42"/>
      <c r="F17" s="42"/>
      <c r="G17" s="76"/>
      <c r="H17" s="42"/>
      <c r="I17" s="107"/>
      <c r="J17" s="45">
        <f>ROUND(X17/Q17,4)</f>
        <v>45.86</v>
      </c>
      <c r="K17" s="14">
        <f t="shared" si="5"/>
        <v>1131.5</v>
      </c>
      <c r="L17" s="108"/>
      <c r="M17" s="13"/>
      <c r="N17" s="13"/>
      <c r="O17" s="13"/>
      <c r="P17" s="13"/>
      <c r="Q17" s="13">
        <v>1131.5</v>
      </c>
      <c r="R17" s="14">
        <f>SUM(S17:X17)</f>
        <v>51890.59</v>
      </c>
      <c r="S17" s="13"/>
      <c r="T17" s="13"/>
      <c r="U17" s="13"/>
      <c r="V17" s="13"/>
      <c r="W17" s="13"/>
      <c r="X17" s="36">
        <v>51890.59</v>
      </c>
      <c r="Y17" s="64">
        <f>AE17</f>
        <v>45.86026582098062</v>
      </c>
      <c r="Z17" s="65"/>
      <c r="AA17" s="65"/>
      <c r="AB17" s="65"/>
      <c r="AC17" s="65"/>
      <c r="AD17" s="65"/>
      <c r="AE17" s="65">
        <f>AS17/AL17</f>
        <v>45.86026582098062</v>
      </c>
      <c r="AF17" s="14">
        <f>AL17</f>
        <v>1122.56</v>
      </c>
      <c r="AG17" s="13"/>
      <c r="AH17" s="13"/>
      <c r="AI17" s="13"/>
      <c r="AJ17" s="13"/>
      <c r="AK17" s="109"/>
      <c r="AL17" s="109">
        <v>1122.56</v>
      </c>
      <c r="AM17" s="14">
        <f>AS17</f>
        <v>51480.9</v>
      </c>
      <c r="AN17" s="13"/>
      <c r="AO17" s="13"/>
      <c r="AP17" s="13"/>
      <c r="AQ17" s="13"/>
      <c r="AR17" s="13"/>
      <c r="AS17" s="13">
        <v>51480.9</v>
      </c>
      <c r="AT17" s="14">
        <f>SUM(AU17:AZ17)</f>
        <v>409.9884000000025</v>
      </c>
      <c r="AU17" s="13"/>
      <c r="AV17" s="13"/>
      <c r="AW17" s="13"/>
      <c r="AX17" s="13"/>
      <c r="AY17" s="13"/>
      <c r="AZ17" s="37">
        <f>(Q17-AL17)*J17</f>
        <v>409.9884000000025</v>
      </c>
    </row>
    <row r="18" spans="1:52" ht="88.5" customHeight="1" thickBot="1">
      <c r="A18" s="30"/>
      <c r="B18" s="31" t="s">
        <v>38</v>
      </c>
      <c r="D18" s="41">
        <f>SUM(E18:J18)</f>
        <v>241.725</v>
      </c>
      <c r="E18" s="56"/>
      <c r="F18" s="56"/>
      <c r="G18" s="102"/>
      <c r="H18" s="56"/>
      <c r="I18" s="103"/>
      <c r="J18" s="45">
        <v>241.725</v>
      </c>
      <c r="K18" s="14">
        <f t="shared" si="5"/>
        <v>1488.640934946737</v>
      </c>
      <c r="L18" s="104"/>
      <c r="M18" s="36"/>
      <c r="N18" s="36"/>
      <c r="O18" s="36"/>
      <c r="P18" s="36"/>
      <c r="Q18" s="36">
        <v>1488.64</v>
      </c>
      <c r="R18" s="14">
        <f>SUM(S18:X18)</f>
        <v>359841.73</v>
      </c>
      <c r="S18" s="36"/>
      <c r="T18" s="36"/>
      <c r="U18" s="36"/>
      <c r="V18" s="36"/>
      <c r="W18" s="36"/>
      <c r="X18" s="13">
        <v>359841.73</v>
      </c>
      <c r="Y18" s="62">
        <f>AE18</f>
        <v>241.72331100342075</v>
      </c>
      <c r="Z18" s="34"/>
      <c r="AA18" s="34"/>
      <c r="AB18" s="34"/>
      <c r="AC18" s="34"/>
      <c r="AD18" s="34"/>
      <c r="AE18" s="65">
        <f>AS18/AL18</f>
        <v>241.72331100342075</v>
      </c>
      <c r="AF18" s="35">
        <f>AL18</f>
        <v>1122.56</v>
      </c>
      <c r="AG18" s="36"/>
      <c r="AH18" s="36"/>
      <c r="AI18" s="36"/>
      <c r="AJ18" s="36"/>
      <c r="AK18" s="105"/>
      <c r="AL18" s="105">
        <v>1122.56</v>
      </c>
      <c r="AM18" s="35">
        <f>AS18</f>
        <v>271348.92</v>
      </c>
      <c r="AN18" s="36"/>
      <c r="AO18" s="36"/>
      <c r="AP18" s="36"/>
      <c r="AQ18" s="36"/>
      <c r="AR18" s="36"/>
      <c r="AS18" s="36">
        <v>271348.92</v>
      </c>
      <c r="AT18" s="57">
        <f>SUM(AU18:AZ18)</f>
        <v>88490.68800000004</v>
      </c>
      <c r="AU18" s="50"/>
      <c r="AV18" s="50"/>
      <c r="AW18" s="50"/>
      <c r="AX18" s="50"/>
      <c r="AY18" s="50"/>
      <c r="AZ18" s="37">
        <f>(Q18-AL18)*J18</f>
        <v>88490.68800000004</v>
      </c>
    </row>
    <row r="19" spans="1:65" s="29" customFormat="1" ht="43.5" customHeight="1" thickBot="1">
      <c r="A19" s="23">
        <v>2</v>
      </c>
      <c r="B19" s="24" t="s">
        <v>0</v>
      </c>
      <c r="C19" s="58" t="s">
        <v>5</v>
      </c>
      <c r="D19" s="26">
        <f aca="true" t="shared" si="10" ref="D19:J19">SUM(D20:D26)</f>
        <v>27020.160144414647</v>
      </c>
      <c r="E19" s="59">
        <f t="shared" si="10"/>
        <v>625.0591</v>
      </c>
      <c r="F19" s="59">
        <f t="shared" si="10"/>
        <v>11161.164544414649</v>
      </c>
      <c r="G19" s="59">
        <f t="shared" si="10"/>
        <v>9216.7711</v>
      </c>
      <c r="H19" s="59">
        <f t="shared" si="10"/>
        <v>1325.337</v>
      </c>
      <c r="I19" s="59">
        <f t="shared" si="10"/>
        <v>4533.8643999999995</v>
      </c>
      <c r="J19" s="59">
        <f t="shared" si="10"/>
        <v>157.964</v>
      </c>
      <c r="K19" s="27">
        <f t="shared" si="5"/>
        <v>149.0817840630998</v>
      </c>
      <c r="L19" s="61">
        <f aca="true" t="shared" si="11" ref="L19:Q19">S19/E19</f>
        <v>167.4934418201415</v>
      </c>
      <c r="M19" s="27">
        <f t="shared" si="11"/>
        <v>121.08414714451077</v>
      </c>
      <c r="N19" s="27">
        <f t="shared" si="11"/>
        <v>170.12960753685206</v>
      </c>
      <c r="O19" s="27">
        <f t="shared" si="11"/>
        <v>167.49350542541256</v>
      </c>
      <c r="P19" s="27">
        <f t="shared" si="11"/>
        <v>169.3837645431125</v>
      </c>
      <c r="Q19" s="27">
        <f t="shared" si="11"/>
        <v>89.17398901015422</v>
      </c>
      <c r="R19" s="27">
        <f aca="true" t="shared" si="12" ref="R19:AE19">SUM(R20:R26)</f>
        <v>4028213.68</v>
      </c>
      <c r="S19" s="27">
        <f t="shared" si="12"/>
        <v>104693.3</v>
      </c>
      <c r="T19" s="27">
        <f t="shared" si="12"/>
        <v>1351440.0899999999</v>
      </c>
      <c r="U19" s="27">
        <f t="shared" si="12"/>
        <v>1568045.6500000001</v>
      </c>
      <c r="V19" s="27">
        <f t="shared" si="12"/>
        <v>221985.34</v>
      </c>
      <c r="W19" s="27">
        <f t="shared" si="12"/>
        <v>767963.02</v>
      </c>
      <c r="X19" s="27">
        <f t="shared" si="12"/>
        <v>14086.28</v>
      </c>
      <c r="Y19" s="59">
        <f t="shared" si="12"/>
        <v>26998.0735333512</v>
      </c>
      <c r="Z19" s="59">
        <f t="shared" si="12"/>
        <v>625.0590677739085</v>
      </c>
      <c r="AA19" s="59">
        <f t="shared" si="12"/>
        <v>11166.851727832844</v>
      </c>
      <c r="AB19" s="59">
        <f t="shared" si="12"/>
        <v>9199.146396999735</v>
      </c>
      <c r="AC19" s="59">
        <f t="shared" si="12"/>
        <v>1325.3369943744979</v>
      </c>
      <c r="AD19" s="59">
        <f t="shared" si="12"/>
        <v>4523.71551031342</v>
      </c>
      <c r="AE19" s="59">
        <f t="shared" si="12"/>
        <v>157.9638360567908</v>
      </c>
      <c r="AF19" s="27">
        <f>AG19</f>
        <v>74.66</v>
      </c>
      <c r="AG19" s="27">
        <f>AG22</f>
        <v>74.66</v>
      </c>
      <c r="AH19" s="27">
        <f>AH22</f>
        <v>74.66</v>
      </c>
      <c r="AI19" s="27">
        <f>AI22</f>
        <v>74.66</v>
      </c>
      <c r="AJ19" s="27">
        <f>AJ22</f>
        <v>74.66</v>
      </c>
      <c r="AK19" s="28">
        <f>AK22</f>
        <v>74.66</v>
      </c>
      <c r="AL19" s="27">
        <f>AL26</f>
        <v>74.66</v>
      </c>
      <c r="AM19" s="27">
        <f aca="true" t="shared" si="13" ref="AM19:AZ19">SUM(AM20:AM26)</f>
        <v>2015676.17</v>
      </c>
      <c r="AN19" s="27">
        <f t="shared" si="13"/>
        <v>46666.91</v>
      </c>
      <c r="AO19" s="27">
        <f t="shared" si="13"/>
        <v>833717.15</v>
      </c>
      <c r="AP19" s="27">
        <f t="shared" si="13"/>
        <v>686808.27</v>
      </c>
      <c r="AQ19" s="27">
        <f t="shared" si="13"/>
        <v>98949.66</v>
      </c>
      <c r="AR19" s="27">
        <f t="shared" si="13"/>
        <v>337740.6</v>
      </c>
      <c r="AS19" s="27">
        <f t="shared" si="13"/>
        <v>11793.58</v>
      </c>
      <c r="AT19" s="118">
        <f t="shared" si="13"/>
        <v>2010847.7103910025</v>
      </c>
      <c r="AU19" s="27">
        <f t="shared" si="13"/>
        <v>58024.236253</v>
      </c>
      <c r="AV19" s="27">
        <f t="shared" si="13"/>
        <v>518148.1721790023</v>
      </c>
      <c r="AW19" s="27">
        <f t="shared" si="13"/>
        <v>879889.147693</v>
      </c>
      <c r="AX19" s="27">
        <f t="shared" si="13"/>
        <v>123031.03371000002</v>
      </c>
      <c r="AY19" s="27">
        <f t="shared" si="13"/>
        <v>429463.0629159999</v>
      </c>
      <c r="AZ19" s="27">
        <f t="shared" si="13"/>
        <v>2292.057640000001</v>
      </c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</row>
    <row r="20" spans="1:52" s="4" customFormat="1" ht="41.25" customHeight="1">
      <c r="A20" s="70"/>
      <c r="B20" s="47" t="s">
        <v>24</v>
      </c>
      <c r="C20" s="47"/>
      <c r="D20" s="64">
        <f aca="true" t="shared" si="14" ref="D20:D25">SUM(E20:I20)</f>
        <v>260.243</v>
      </c>
      <c r="E20" s="69"/>
      <c r="F20" s="69"/>
      <c r="G20" s="69">
        <f>ROUND(U20/N20,3)</f>
        <v>260.243</v>
      </c>
      <c r="H20" s="69"/>
      <c r="I20" s="69"/>
      <c r="J20" s="34"/>
      <c r="K20" s="14">
        <f t="shared" si="5"/>
        <v>260.84962900058787</v>
      </c>
      <c r="L20" s="50"/>
      <c r="M20" s="73"/>
      <c r="N20" s="50">
        <v>260.85</v>
      </c>
      <c r="O20" s="50"/>
      <c r="P20" s="50"/>
      <c r="Q20" s="50"/>
      <c r="R20" s="63">
        <f aca="true" t="shared" si="15" ref="R20:R25">SUM(S20:W20)</f>
        <v>67884.29</v>
      </c>
      <c r="S20" s="50"/>
      <c r="T20" s="50"/>
      <c r="U20" s="50">
        <v>67884.29</v>
      </c>
      <c r="V20" s="73"/>
      <c r="W20" s="73"/>
      <c r="X20" s="73"/>
      <c r="Y20" s="100">
        <f aca="true" t="shared" si="16" ref="Y20:Y25">SUM(Z20:AD20)</f>
        <v>260.24256630056254</v>
      </c>
      <c r="Z20" s="98"/>
      <c r="AA20" s="98"/>
      <c r="AB20" s="98">
        <f>AP20/AI20</f>
        <v>260.24256630056254</v>
      </c>
      <c r="AC20" s="98"/>
      <c r="AD20" s="98"/>
      <c r="AE20" s="98"/>
      <c r="AF20" s="63">
        <f>AI20</f>
        <v>74.66</v>
      </c>
      <c r="AG20" s="73"/>
      <c r="AH20" s="73"/>
      <c r="AI20" s="73">
        <v>74.66</v>
      </c>
      <c r="AJ20" s="73"/>
      <c r="AK20" s="73"/>
      <c r="AL20" s="73"/>
      <c r="AM20" s="63">
        <f aca="true" t="shared" si="17" ref="AM20:AM25">SUM(AN20:AR20)</f>
        <v>19429.71</v>
      </c>
      <c r="AN20" s="73"/>
      <c r="AO20" s="73"/>
      <c r="AP20" s="73">
        <v>19429.71</v>
      </c>
      <c r="AQ20" s="73"/>
      <c r="AR20" s="73"/>
      <c r="AS20" s="73"/>
      <c r="AT20" s="63">
        <f aca="true" t="shared" si="18" ref="AT20:AT25">SUM(AU20:AY20)</f>
        <v>48454.64417000001</v>
      </c>
      <c r="AU20" s="73"/>
      <c r="AV20" s="73"/>
      <c r="AW20" s="37">
        <f>(N20-AI20)*G20</f>
        <v>48454.64417000001</v>
      </c>
      <c r="AX20" s="73"/>
      <c r="AY20" s="73"/>
      <c r="AZ20" s="73"/>
    </row>
    <row r="21" spans="1:52" s="4" customFormat="1" ht="58.5" customHeight="1">
      <c r="A21" s="66"/>
      <c r="B21" s="55" t="s">
        <v>43</v>
      </c>
      <c r="C21" s="47"/>
      <c r="D21" s="62">
        <f t="shared" si="14"/>
        <v>345.198</v>
      </c>
      <c r="E21" s="68"/>
      <c r="F21" s="69">
        <v>345.198</v>
      </c>
      <c r="G21" s="69"/>
      <c r="H21" s="69"/>
      <c r="I21" s="69"/>
      <c r="J21" s="69"/>
      <c r="K21" s="57">
        <f t="shared" si="5"/>
        <v>106.17741122486227</v>
      </c>
      <c r="L21" s="50"/>
      <c r="M21" s="36">
        <v>106.18</v>
      </c>
      <c r="N21" s="50"/>
      <c r="O21" s="50"/>
      <c r="P21" s="50"/>
      <c r="Q21" s="50"/>
      <c r="R21" s="35">
        <f t="shared" si="15"/>
        <v>36652.23</v>
      </c>
      <c r="S21" s="50"/>
      <c r="T21" s="50">
        <v>36652.23</v>
      </c>
      <c r="U21" s="50"/>
      <c r="V21" s="36"/>
      <c r="W21" s="36"/>
      <c r="X21" s="36"/>
      <c r="Y21" s="62">
        <f t="shared" si="16"/>
        <v>345.19756228234667</v>
      </c>
      <c r="Z21" s="34"/>
      <c r="AA21" s="34">
        <f>AO21/AH21</f>
        <v>345.19756228234667</v>
      </c>
      <c r="AB21" s="34"/>
      <c r="AC21" s="34"/>
      <c r="AD21" s="34"/>
      <c r="AE21" s="34"/>
      <c r="AF21" s="35">
        <f>AH21</f>
        <v>74.66</v>
      </c>
      <c r="AG21" s="36"/>
      <c r="AH21" s="36">
        <v>74.66</v>
      </c>
      <c r="AI21" s="36"/>
      <c r="AJ21" s="36"/>
      <c r="AK21" s="36"/>
      <c r="AL21" s="36"/>
      <c r="AM21" s="35">
        <f t="shared" si="17"/>
        <v>25772.45</v>
      </c>
      <c r="AN21" s="36"/>
      <c r="AO21" s="36">
        <v>25772.45</v>
      </c>
      <c r="AP21" s="36"/>
      <c r="AQ21" s="36"/>
      <c r="AR21" s="36"/>
      <c r="AS21" s="36"/>
      <c r="AT21" s="35">
        <f t="shared" si="18"/>
        <v>10880.640960000002</v>
      </c>
      <c r="AU21" s="13"/>
      <c r="AV21" s="13">
        <f>(M21-AH21)*F21</f>
        <v>10880.640960000002</v>
      </c>
      <c r="AW21" s="13"/>
      <c r="AX21" s="13"/>
      <c r="AY21" s="13"/>
      <c r="AZ21" s="36"/>
    </row>
    <row r="22" spans="1:52" ht="40.5" customHeight="1">
      <c r="A22" s="9"/>
      <c r="B22" s="39" t="s">
        <v>35</v>
      </c>
      <c r="C22" s="40"/>
      <c r="D22" s="64">
        <f t="shared" si="14"/>
        <v>15594.988099999999</v>
      </c>
      <c r="E22" s="65">
        <v>625.0591</v>
      </c>
      <c r="F22" s="65">
        <v>611.8805</v>
      </c>
      <c r="G22" s="65">
        <v>8956.5281</v>
      </c>
      <c r="H22" s="65">
        <v>1325.337</v>
      </c>
      <c r="I22" s="65">
        <v>4076.1834</v>
      </c>
      <c r="J22" s="65"/>
      <c r="K22" s="14">
        <f t="shared" si="5"/>
        <v>168.45604261794855</v>
      </c>
      <c r="L22" s="13">
        <v>167.49</v>
      </c>
      <c r="M22" s="13">
        <f>L22</f>
        <v>167.49</v>
      </c>
      <c r="N22" s="13">
        <f>L22</f>
        <v>167.49</v>
      </c>
      <c r="O22" s="13">
        <f>L22</f>
        <v>167.49</v>
      </c>
      <c r="P22" s="13">
        <f>W22/I22</f>
        <v>171.17580136359908</v>
      </c>
      <c r="Q22" s="13"/>
      <c r="R22" s="14">
        <f t="shared" si="15"/>
        <v>2627069.9800000004</v>
      </c>
      <c r="S22" s="13">
        <v>104693.3</v>
      </c>
      <c r="T22" s="13">
        <v>102486.02</v>
      </c>
      <c r="U22" s="13">
        <v>1500161.36</v>
      </c>
      <c r="V22" s="13">
        <v>221985.34</v>
      </c>
      <c r="W22" s="13">
        <v>697743.96</v>
      </c>
      <c r="X22" s="13"/>
      <c r="Y22" s="64">
        <f t="shared" si="16"/>
        <v>15567.215108491833</v>
      </c>
      <c r="Z22" s="65">
        <f>AN22/AG22</f>
        <v>625.0590677739085</v>
      </c>
      <c r="AA22" s="65">
        <f>AO22/AH22</f>
        <v>611.8805250468793</v>
      </c>
      <c r="AB22" s="65">
        <f>AP22/AI22</f>
        <v>8938.903830699172</v>
      </c>
      <c r="AC22" s="65">
        <f>AQ22/AJ22</f>
        <v>1325.3369943744979</v>
      </c>
      <c r="AD22" s="65">
        <f>AR22/AK22</f>
        <v>4066.0346905973743</v>
      </c>
      <c r="AE22" s="65"/>
      <c r="AF22" s="14">
        <f>AG22</f>
        <v>74.66</v>
      </c>
      <c r="AG22" s="13">
        <v>74.66</v>
      </c>
      <c r="AH22" s="13">
        <v>74.66</v>
      </c>
      <c r="AI22" s="13">
        <v>74.66</v>
      </c>
      <c r="AJ22" s="13">
        <v>74.66</v>
      </c>
      <c r="AK22" s="13">
        <v>74.66</v>
      </c>
      <c r="AL22" s="13"/>
      <c r="AM22" s="14">
        <f t="shared" si="17"/>
        <v>1162248.28</v>
      </c>
      <c r="AN22" s="13">
        <f>46666.91</f>
        <v>46666.91</v>
      </c>
      <c r="AO22" s="13">
        <f>45683</f>
        <v>45683</v>
      </c>
      <c r="AP22" s="13">
        <f>232947.6+432902.96+1528</f>
        <v>667378.56</v>
      </c>
      <c r="AQ22" s="13">
        <f>98949.66</f>
        <v>98949.66</v>
      </c>
      <c r="AR22" s="13">
        <f>303001.67+568.48</f>
        <v>303570.14999999997</v>
      </c>
      <c r="AS22" s="13"/>
      <c r="AT22" s="14">
        <f t="shared" si="18"/>
        <v>1462706.747657</v>
      </c>
      <c r="AU22" s="37">
        <f>(L22-AG22)*E22</f>
        <v>58024.236253</v>
      </c>
      <c r="AV22" s="37">
        <f>(M22-AH22)*F22</f>
        <v>56800.86681500001</v>
      </c>
      <c r="AW22" s="37">
        <f>(N22-AI22)*G22</f>
        <v>831434.503523</v>
      </c>
      <c r="AX22" s="37">
        <f>(O22-AJ22)*H22</f>
        <v>123031.03371000002</v>
      </c>
      <c r="AY22" s="37">
        <f>(P22-AK22)*I22</f>
        <v>393416.10735599993</v>
      </c>
      <c r="AZ22" s="13"/>
    </row>
    <row r="23" spans="1:52" s="4" customFormat="1" ht="42" customHeight="1">
      <c r="A23" s="66"/>
      <c r="B23" s="39" t="s">
        <v>23</v>
      </c>
      <c r="C23" s="39"/>
      <c r="D23" s="64">
        <f t="shared" si="14"/>
        <v>524.496</v>
      </c>
      <c r="E23" s="65"/>
      <c r="F23" s="65">
        <v>524.496</v>
      </c>
      <c r="G23" s="65"/>
      <c r="H23" s="65"/>
      <c r="I23" s="65"/>
      <c r="J23" s="65"/>
      <c r="K23" s="14">
        <f t="shared" si="5"/>
        <v>109.12639943869925</v>
      </c>
      <c r="L23" s="13"/>
      <c r="M23" s="13">
        <v>109.13</v>
      </c>
      <c r="N23" s="13"/>
      <c r="O23" s="13"/>
      <c r="P23" s="13"/>
      <c r="Q23" s="13"/>
      <c r="R23" s="14">
        <f t="shared" si="15"/>
        <v>57236.36</v>
      </c>
      <c r="S23" s="13"/>
      <c r="T23" s="13">
        <v>57236.36</v>
      </c>
      <c r="U23" s="13"/>
      <c r="V23" s="13"/>
      <c r="W23" s="13"/>
      <c r="X23" s="13"/>
      <c r="Y23" s="64">
        <f t="shared" si="16"/>
        <v>524.4963836056792</v>
      </c>
      <c r="Z23" s="65"/>
      <c r="AA23" s="65">
        <f>AO23/AH23</f>
        <v>524.4963836056792</v>
      </c>
      <c r="AB23" s="65"/>
      <c r="AC23" s="65"/>
      <c r="AD23" s="65"/>
      <c r="AE23" s="65"/>
      <c r="AF23" s="14">
        <f>AH23</f>
        <v>74.66</v>
      </c>
      <c r="AG23" s="13"/>
      <c r="AH23" s="13">
        <v>74.66</v>
      </c>
      <c r="AI23" s="13"/>
      <c r="AJ23" s="13"/>
      <c r="AK23" s="13"/>
      <c r="AL23" s="13"/>
      <c r="AM23" s="14">
        <f t="shared" si="17"/>
        <v>39158.9</v>
      </c>
      <c r="AN23" s="13"/>
      <c r="AO23" s="13">
        <v>39158.9</v>
      </c>
      <c r="AP23" s="13"/>
      <c r="AQ23" s="13"/>
      <c r="AR23" s="13"/>
      <c r="AS23" s="13"/>
      <c r="AT23" s="14">
        <f t="shared" si="18"/>
        <v>18079.377119999997</v>
      </c>
      <c r="AU23" s="13"/>
      <c r="AV23" s="37">
        <f>(M23-AH23)*F23</f>
        <v>18079.377119999997</v>
      </c>
      <c r="AW23" s="13"/>
      <c r="AX23" s="13"/>
      <c r="AY23" s="13"/>
      <c r="AZ23" s="13"/>
    </row>
    <row r="24" spans="1:52" s="4" customFormat="1" ht="57" customHeight="1">
      <c r="A24" s="66"/>
      <c r="B24" s="43" t="s">
        <v>41</v>
      </c>
      <c r="C24" s="43"/>
      <c r="D24" s="67">
        <f t="shared" si="14"/>
        <v>9679.590044414648</v>
      </c>
      <c r="E24" s="34"/>
      <c r="F24" s="97">
        <f>T24/M24</f>
        <v>9679.590044414648</v>
      </c>
      <c r="G24" s="34"/>
      <c r="H24" s="34"/>
      <c r="I24" s="97"/>
      <c r="J24" s="97"/>
      <c r="K24" s="15">
        <f t="shared" si="5"/>
        <v>119.33</v>
      </c>
      <c r="L24" s="37"/>
      <c r="M24" s="37">
        <v>119.33</v>
      </c>
      <c r="N24" s="37"/>
      <c r="O24" s="37"/>
      <c r="P24" s="37"/>
      <c r="Q24" s="37"/>
      <c r="R24" s="15">
        <f t="shared" si="15"/>
        <v>1155065.48</v>
      </c>
      <c r="S24" s="37"/>
      <c r="T24" s="37">
        <v>1155065.48</v>
      </c>
      <c r="U24" s="37"/>
      <c r="V24" s="37"/>
      <c r="W24" s="37"/>
      <c r="X24" s="37"/>
      <c r="Y24" s="67">
        <f t="shared" si="16"/>
        <v>9685.277256897938</v>
      </c>
      <c r="Z24" s="97"/>
      <c r="AA24" s="97">
        <f>AO24/AH24</f>
        <v>9685.277256897938</v>
      </c>
      <c r="AB24" s="97"/>
      <c r="AC24" s="97"/>
      <c r="AD24" s="97"/>
      <c r="AE24" s="97"/>
      <c r="AF24" s="15">
        <f>AH24</f>
        <v>74.66</v>
      </c>
      <c r="AG24" s="37"/>
      <c r="AH24" s="37">
        <v>74.66</v>
      </c>
      <c r="AI24" s="37"/>
      <c r="AJ24" s="37"/>
      <c r="AK24" s="37"/>
      <c r="AL24" s="37"/>
      <c r="AM24" s="15">
        <f t="shared" si="17"/>
        <v>723102.8</v>
      </c>
      <c r="AN24" s="37"/>
      <c r="AO24" s="36">
        <f>46994.29+676108.51</f>
        <v>723102.8</v>
      </c>
      <c r="AP24" s="37"/>
      <c r="AQ24" s="37"/>
      <c r="AR24" s="37"/>
      <c r="AS24" s="37"/>
      <c r="AT24" s="15">
        <f t="shared" si="18"/>
        <v>432387.28728400235</v>
      </c>
      <c r="AU24" s="37"/>
      <c r="AV24" s="37">
        <f>(M24-AH24)*F24</f>
        <v>432387.28728400235</v>
      </c>
      <c r="AW24" s="37"/>
      <c r="AX24" s="37"/>
      <c r="AY24" s="37"/>
      <c r="AZ24" s="37"/>
    </row>
    <row r="25" spans="1:52" ht="65.25" customHeight="1">
      <c r="A25" s="9"/>
      <c r="B25" s="39" t="s">
        <v>42</v>
      </c>
      <c r="C25" s="40"/>
      <c r="D25" s="64">
        <f t="shared" si="14"/>
        <v>457.681</v>
      </c>
      <c r="E25" s="65"/>
      <c r="F25" s="65"/>
      <c r="G25" s="65"/>
      <c r="H25" s="65"/>
      <c r="I25" s="65">
        <v>457.681</v>
      </c>
      <c r="J25" s="65"/>
      <c r="K25" s="14">
        <f t="shared" si="5"/>
        <v>153.4235854230348</v>
      </c>
      <c r="L25" s="13"/>
      <c r="M25" s="13"/>
      <c r="N25" s="13"/>
      <c r="O25" s="13"/>
      <c r="P25" s="13">
        <v>153.42</v>
      </c>
      <c r="Q25" s="13"/>
      <c r="R25" s="14">
        <f t="shared" si="15"/>
        <v>70219.06</v>
      </c>
      <c r="S25" s="13"/>
      <c r="T25" s="13"/>
      <c r="U25" s="13"/>
      <c r="V25" s="13"/>
      <c r="W25" s="13">
        <v>70219.06</v>
      </c>
      <c r="X25" s="13"/>
      <c r="Y25" s="64">
        <f t="shared" si="16"/>
        <v>457.6808197160461</v>
      </c>
      <c r="Z25" s="65"/>
      <c r="AA25" s="65"/>
      <c r="AB25" s="65"/>
      <c r="AC25" s="65"/>
      <c r="AD25" s="65">
        <f>AR25/AK25</f>
        <v>457.6808197160461</v>
      </c>
      <c r="AE25" s="65"/>
      <c r="AF25" s="14">
        <f>AK25</f>
        <v>74.66</v>
      </c>
      <c r="AG25" s="13"/>
      <c r="AH25" s="13"/>
      <c r="AI25" s="13"/>
      <c r="AJ25" s="13"/>
      <c r="AK25" s="37">
        <v>74.66</v>
      </c>
      <c r="AL25" s="13"/>
      <c r="AM25" s="14">
        <f t="shared" si="17"/>
        <v>34170.45</v>
      </c>
      <c r="AN25" s="13"/>
      <c r="AO25" s="13"/>
      <c r="AP25" s="13"/>
      <c r="AQ25" s="13"/>
      <c r="AR25" s="13">
        <v>34170.45</v>
      </c>
      <c r="AS25" s="13"/>
      <c r="AT25" s="14">
        <f t="shared" si="18"/>
        <v>36046.955559999995</v>
      </c>
      <c r="AU25" s="37"/>
      <c r="AV25" s="37"/>
      <c r="AW25" s="37"/>
      <c r="AX25" s="37"/>
      <c r="AY25" s="37">
        <f>(P25-AK25)*I25</f>
        <v>36046.955559999995</v>
      </c>
      <c r="AZ25" s="13"/>
    </row>
    <row r="26" spans="1:52" ht="58.5" customHeight="1" thickBot="1">
      <c r="A26" s="38">
        <v>36</v>
      </c>
      <c r="B26" s="39" t="s">
        <v>37</v>
      </c>
      <c r="C26" s="106"/>
      <c r="D26" s="62">
        <f>SUM(E26:J26)</f>
        <v>157.964</v>
      </c>
      <c r="E26" s="42"/>
      <c r="F26" s="42"/>
      <c r="G26" s="76"/>
      <c r="H26" s="42"/>
      <c r="I26" s="107"/>
      <c r="J26" s="69">
        <v>157.964</v>
      </c>
      <c r="K26" s="35">
        <f t="shared" si="5"/>
        <v>89.17398901015422</v>
      </c>
      <c r="L26" s="108"/>
      <c r="M26" s="13"/>
      <c r="N26" s="13"/>
      <c r="O26" s="13"/>
      <c r="P26" s="13"/>
      <c r="Q26" s="13">
        <v>89.17</v>
      </c>
      <c r="R26" s="57">
        <f>SUM(S26:X26)</f>
        <v>14086.28</v>
      </c>
      <c r="S26" s="13"/>
      <c r="T26" s="13"/>
      <c r="U26" s="13"/>
      <c r="V26" s="13"/>
      <c r="W26" s="13"/>
      <c r="X26" s="13">
        <v>14086.28</v>
      </c>
      <c r="Y26" s="64">
        <f>AE26</f>
        <v>157.9638360567908</v>
      </c>
      <c r="Z26" s="65"/>
      <c r="AA26" s="65"/>
      <c r="AB26" s="65"/>
      <c r="AC26" s="65"/>
      <c r="AD26" s="65"/>
      <c r="AE26" s="65">
        <f>AS26/AL26</f>
        <v>157.9638360567908</v>
      </c>
      <c r="AF26" s="14">
        <f>AL26</f>
        <v>74.66</v>
      </c>
      <c r="AG26" s="13"/>
      <c r="AH26" s="13"/>
      <c r="AI26" s="13"/>
      <c r="AJ26" s="13"/>
      <c r="AK26" s="109"/>
      <c r="AL26" s="109">
        <v>74.66</v>
      </c>
      <c r="AM26" s="14">
        <f>AS26</f>
        <v>11793.58</v>
      </c>
      <c r="AN26" s="13"/>
      <c r="AO26" s="13"/>
      <c r="AP26" s="13"/>
      <c r="AQ26" s="13"/>
      <c r="AR26" s="13"/>
      <c r="AS26" s="13">
        <v>11793.58</v>
      </c>
      <c r="AT26" s="57">
        <f>SUM(AU26:AZ26)</f>
        <v>2292.057640000001</v>
      </c>
      <c r="AU26" s="36"/>
      <c r="AV26" s="36"/>
      <c r="AW26" s="36"/>
      <c r="AX26" s="36"/>
      <c r="AY26" s="36"/>
      <c r="AZ26" s="37">
        <f>(Q26-AL26)*J26</f>
        <v>2292.057640000001</v>
      </c>
    </row>
    <row r="27" spans="1:65" s="29" customFormat="1" ht="43.5" customHeight="1" thickBot="1">
      <c r="A27" s="23">
        <v>3</v>
      </c>
      <c r="B27" s="24" t="s">
        <v>1</v>
      </c>
      <c r="C27" s="24" t="s">
        <v>5</v>
      </c>
      <c r="D27" s="71">
        <f aca="true" t="shared" si="19" ref="D27:J27">SUM(D28:D36)</f>
        <v>75459.68323654454</v>
      </c>
      <c r="E27" s="71">
        <f t="shared" si="19"/>
        <v>9543.26</v>
      </c>
      <c r="F27" s="71">
        <f t="shared" si="19"/>
        <v>31465.115236544552</v>
      </c>
      <c r="G27" s="71">
        <f t="shared" si="19"/>
        <v>15068.099999999999</v>
      </c>
      <c r="H27" s="71">
        <f t="shared" si="19"/>
        <v>10063.23</v>
      </c>
      <c r="I27" s="71">
        <f t="shared" si="19"/>
        <v>8335.478</v>
      </c>
      <c r="J27" s="71">
        <f t="shared" si="19"/>
        <v>984.5</v>
      </c>
      <c r="K27" s="28">
        <f t="shared" si="5"/>
        <v>22.923577939991514</v>
      </c>
      <c r="L27" s="28">
        <f aca="true" t="shared" si="20" ref="L27:Q27">S27/E27</f>
        <v>24.578010030115493</v>
      </c>
      <c r="M27" s="28">
        <f t="shared" si="20"/>
        <v>25.007790821185406</v>
      </c>
      <c r="N27" s="28">
        <f t="shared" si="20"/>
        <v>20.371444309501534</v>
      </c>
      <c r="O27" s="28">
        <f t="shared" si="20"/>
        <v>19.953799128112944</v>
      </c>
      <c r="P27" s="28">
        <f t="shared" si="20"/>
        <v>20.684311085698987</v>
      </c>
      <c r="Q27" s="28">
        <f t="shared" si="20"/>
        <v>28.65040121889284</v>
      </c>
      <c r="R27" s="28">
        <f aca="true" t="shared" si="21" ref="R27:AE27">SUM(R28:R36)</f>
        <v>1729805.93</v>
      </c>
      <c r="S27" s="28">
        <f t="shared" si="21"/>
        <v>234554.34</v>
      </c>
      <c r="T27" s="28">
        <f t="shared" si="21"/>
        <v>786873.0199999999</v>
      </c>
      <c r="U27" s="28">
        <f t="shared" si="21"/>
        <v>306958.96</v>
      </c>
      <c r="V27" s="28">
        <f t="shared" si="21"/>
        <v>200799.67</v>
      </c>
      <c r="W27" s="28">
        <f t="shared" si="21"/>
        <v>172413.62</v>
      </c>
      <c r="X27" s="28">
        <f t="shared" si="21"/>
        <v>28206.32</v>
      </c>
      <c r="Y27" s="60">
        <f t="shared" si="21"/>
        <v>75557.80054611638</v>
      </c>
      <c r="Z27" s="60">
        <f t="shared" si="21"/>
        <v>9320.948118006103</v>
      </c>
      <c r="AA27" s="60">
        <f t="shared" si="21"/>
        <v>31391.444048830108</v>
      </c>
      <c r="AB27" s="60">
        <f t="shared" si="21"/>
        <v>15016.921291624618</v>
      </c>
      <c r="AC27" s="60">
        <f t="shared" si="21"/>
        <v>10511.439370877728</v>
      </c>
      <c r="AD27" s="60">
        <f t="shared" si="21"/>
        <v>8332.590559261162</v>
      </c>
      <c r="AE27" s="60">
        <f t="shared" si="21"/>
        <v>984.4571575166752</v>
      </c>
      <c r="AF27" s="28">
        <f aca="true" t="shared" si="22" ref="AF27:AF45">AM27/Y27</f>
        <v>19.677792752748687</v>
      </c>
      <c r="AG27" s="28">
        <f>AG32</f>
        <v>19.66</v>
      </c>
      <c r="AH27" s="101">
        <f>AO27/AA27</f>
        <v>19.660000000000004</v>
      </c>
      <c r="AI27" s="101">
        <f>AI32</f>
        <v>19.82</v>
      </c>
      <c r="AJ27" s="101">
        <f>AJ32</f>
        <v>19.71</v>
      </c>
      <c r="AK27" s="101">
        <f>AK32</f>
        <v>19.49</v>
      </c>
      <c r="AL27" s="101">
        <f>AL33</f>
        <v>19.49</v>
      </c>
      <c r="AM27" s="101">
        <f aca="true" t="shared" si="23" ref="AM27:AZ27">SUM(AM28:AM36)</f>
        <v>1486810.7399999998</v>
      </c>
      <c r="AN27" s="119">
        <f t="shared" si="23"/>
        <v>183249.84</v>
      </c>
      <c r="AO27" s="119">
        <f t="shared" si="23"/>
        <v>617155.79</v>
      </c>
      <c r="AP27" s="119">
        <f t="shared" si="23"/>
        <v>297635.37999999995</v>
      </c>
      <c r="AQ27" s="119">
        <f t="shared" si="23"/>
        <v>207180.47000000003</v>
      </c>
      <c r="AR27" s="119">
        <f t="shared" si="23"/>
        <v>162402.19</v>
      </c>
      <c r="AS27" s="119">
        <f t="shared" si="23"/>
        <v>19187.07</v>
      </c>
      <c r="AT27" s="118">
        <f t="shared" si="23"/>
        <v>244764.80080953406</v>
      </c>
      <c r="AU27" s="28">
        <f t="shared" si="23"/>
        <v>46914.700399999994</v>
      </c>
      <c r="AV27" s="28">
        <f t="shared" si="23"/>
        <v>168240.0115695341</v>
      </c>
      <c r="AW27" s="28">
        <f t="shared" si="23"/>
        <v>8253.759599999985</v>
      </c>
      <c r="AX27" s="28">
        <f t="shared" si="23"/>
        <v>2415.175199999984</v>
      </c>
      <c r="AY27" s="28">
        <f t="shared" si="23"/>
        <v>9923.134040000008</v>
      </c>
      <c r="AZ27" s="28">
        <f t="shared" si="23"/>
        <v>9018.02</v>
      </c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</row>
    <row r="28" spans="1:52" ht="51" customHeight="1">
      <c r="A28" s="74"/>
      <c r="B28" s="47" t="s">
        <v>20</v>
      </c>
      <c r="C28" s="32"/>
      <c r="D28" s="75">
        <f aca="true" t="shared" si="24" ref="D28:D36">SUM(E28:J28)</f>
        <v>151.1</v>
      </c>
      <c r="E28" s="77">
        <v>151.1</v>
      </c>
      <c r="F28" s="76"/>
      <c r="G28" s="76"/>
      <c r="H28" s="76"/>
      <c r="I28" s="76"/>
      <c r="J28" s="76"/>
      <c r="K28" s="14">
        <f t="shared" si="5"/>
        <v>34.998808735936464</v>
      </c>
      <c r="L28" s="37">
        <v>35</v>
      </c>
      <c r="M28" s="36"/>
      <c r="N28" s="36"/>
      <c r="O28" s="37"/>
      <c r="P28" s="37"/>
      <c r="Q28" s="37"/>
      <c r="R28" s="14">
        <f aca="true" t="shared" si="25" ref="R28:R36">SUM(S28:X28)</f>
        <v>5288.32</v>
      </c>
      <c r="S28" s="36">
        <v>5288.32</v>
      </c>
      <c r="T28" s="36"/>
      <c r="U28" s="36"/>
      <c r="V28" s="13"/>
      <c r="W28" s="13"/>
      <c r="X28" s="13"/>
      <c r="Y28" s="64">
        <f>SUM(Z28:AD28)</f>
        <v>151.10071210579858</v>
      </c>
      <c r="Z28" s="65">
        <f>AN28/AG28</f>
        <v>151.10071210579858</v>
      </c>
      <c r="AA28" s="65"/>
      <c r="AB28" s="65"/>
      <c r="AC28" s="65"/>
      <c r="AD28" s="65"/>
      <c r="AE28" s="65"/>
      <c r="AF28" s="14">
        <f>AM28/Y28</f>
        <v>19.66</v>
      </c>
      <c r="AG28" s="13">
        <v>19.66</v>
      </c>
      <c r="AH28" s="13"/>
      <c r="AI28" s="13"/>
      <c r="AJ28" s="13"/>
      <c r="AK28" s="13"/>
      <c r="AL28" s="13"/>
      <c r="AM28" s="14">
        <f>SUM(AN28:AR28)</f>
        <v>2970.64</v>
      </c>
      <c r="AN28" s="36">
        <v>2970.64</v>
      </c>
      <c r="AO28" s="36"/>
      <c r="AP28" s="36"/>
      <c r="AQ28" s="13"/>
      <c r="AR28" s="13"/>
      <c r="AS28" s="13"/>
      <c r="AT28" s="14">
        <f>SUM(AU28:AY28)</f>
        <v>2317.874</v>
      </c>
      <c r="AU28" s="37">
        <f>(L28-AG28)*E28</f>
        <v>2317.874</v>
      </c>
      <c r="AV28" s="37"/>
      <c r="AW28" s="37"/>
      <c r="AX28" s="37"/>
      <c r="AY28" s="37"/>
      <c r="AZ28" s="13"/>
    </row>
    <row r="29" spans="1:52" ht="54" customHeight="1">
      <c r="A29" s="74"/>
      <c r="B29" s="47" t="s">
        <v>21</v>
      </c>
      <c r="C29" s="48"/>
      <c r="D29" s="75">
        <f t="shared" si="24"/>
        <v>387.06</v>
      </c>
      <c r="E29" s="76"/>
      <c r="F29" s="76"/>
      <c r="G29" s="76">
        <v>387.06</v>
      </c>
      <c r="H29" s="76"/>
      <c r="I29" s="76"/>
      <c r="J29" s="76"/>
      <c r="K29" s="14">
        <f t="shared" si="5"/>
        <v>33.759804681444734</v>
      </c>
      <c r="L29" s="37"/>
      <c r="M29" s="13"/>
      <c r="N29" s="50">
        <v>33.76</v>
      </c>
      <c r="O29" s="37"/>
      <c r="P29" s="37"/>
      <c r="Q29" s="37"/>
      <c r="R29" s="14">
        <f t="shared" si="25"/>
        <v>13067.07</v>
      </c>
      <c r="S29" s="50"/>
      <c r="T29" s="50"/>
      <c r="U29" s="50">
        <v>13067.07</v>
      </c>
      <c r="V29" s="36"/>
      <c r="W29" s="36"/>
      <c r="X29" s="13"/>
      <c r="Y29" s="67">
        <f>SUM(Z29:AD29)</f>
        <v>387.0605449041372</v>
      </c>
      <c r="Z29" s="97"/>
      <c r="AA29" s="97"/>
      <c r="AB29" s="97">
        <f>AP29/AI29</f>
        <v>387.0605449041372</v>
      </c>
      <c r="AC29" s="97"/>
      <c r="AD29" s="97"/>
      <c r="AE29" s="97"/>
      <c r="AF29" s="14">
        <f>AM29/Y29</f>
        <v>19.82</v>
      </c>
      <c r="AG29" s="13"/>
      <c r="AH29" s="13"/>
      <c r="AI29" s="13">
        <v>19.82</v>
      </c>
      <c r="AJ29" s="13"/>
      <c r="AK29" s="13"/>
      <c r="AL29" s="37"/>
      <c r="AM29" s="15">
        <f>SUM(AN29:AR29)</f>
        <v>7671.54</v>
      </c>
      <c r="AN29" s="50"/>
      <c r="AO29" s="50"/>
      <c r="AP29" s="50">
        <v>7671.54</v>
      </c>
      <c r="AQ29" s="36"/>
      <c r="AR29" s="36"/>
      <c r="AS29" s="13"/>
      <c r="AT29" s="14">
        <f>SUM(AU29:AY29)</f>
        <v>5395.616399999999</v>
      </c>
      <c r="AU29" s="37"/>
      <c r="AV29" s="37"/>
      <c r="AW29" s="37">
        <f>(N29-AI29)*G29</f>
        <v>5395.616399999999</v>
      </c>
      <c r="AX29" s="37"/>
      <c r="AY29" s="37"/>
      <c r="AZ29" s="13"/>
    </row>
    <row r="30" spans="1:52" ht="59.25" customHeight="1">
      <c r="A30" s="38"/>
      <c r="B30" s="54" t="s">
        <v>39</v>
      </c>
      <c r="C30" s="40"/>
      <c r="D30" s="75">
        <f t="shared" si="24"/>
        <v>8183.00723654455</v>
      </c>
      <c r="E30" s="76"/>
      <c r="F30" s="65">
        <f>T30/M30</f>
        <v>8183.00723654455</v>
      </c>
      <c r="G30" s="76"/>
      <c r="H30" s="76"/>
      <c r="I30" s="76"/>
      <c r="J30" s="76"/>
      <c r="K30" s="14">
        <f t="shared" si="5"/>
        <v>22.11</v>
      </c>
      <c r="L30" s="13"/>
      <c r="M30" s="37">
        <v>22.11</v>
      </c>
      <c r="N30" s="13"/>
      <c r="O30" s="37"/>
      <c r="P30" s="37"/>
      <c r="Q30" s="37"/>
      <c r="R30" s="14">
        <f t="shared" si="25"/>
        <v>180926.29</v>
      </c>
      <c r="S30" s="13"/>
      <c r="T30" s="13">
        <v>180926.29</v>
      </c>
      <c r="U30" s="13"/>
      <c r="V30" s="13"/>
      <c r="W30" s="13"/>
      <c r="X30" s="37"/>
      <c r="Y30" s="67">
        <f>SUM(Z30:AD30)</f>
        <v>8188.604781281791</v>
      </c>
      <c r="Z30" s="97"/>
      <c r="AA30" s="97">
        <f>AO30/AH30</f>
        <v>8188.604781281791</v>
      </c>
      <c r="AB30" s="97"/>
      <c r="AC30" s="97"/>
      <c r="AD30" s="97"/>
      <c r="AE30" s="97"/>
      <c r="AF30" s="14">
        <f>AM30/Y30</f>
        <v>19.66</v>
      </c>
      <c r="AG30" s="37"/>
      <c r="AH30" s="37">
        <v>19.66</v>
      </c>
      <c r="AI30" s="37"/>
      <c r="AJ30" s="37"/>
      <c r="AK30" s="37"/>
      <c r="AL30" s="37"/>
      <c r="AM30" s="15">
        <f>SUM(AN30:AR30)</f>
        <v>160987.97</v>
      </c>
      <c r="AN30" s="13"/>
      <c r="AO30" s="13">
        <f>160626.27+361.7</f>
        <v>160987.97</v>
      </c>
      <c r="AP30" s="13"/>
      <c r="AQ30" s="13"/>
      <c r="AR30" s="13"/>
      <c r="AS30" s="37"/>
      <c r="AT30" s="15">
        <f>SUM(AU30:AY30)</f>
        <v>20048.367729534144</v>
      </c>
      <c r="AU30" s="37"/>
      <c r="AV30" s="37">
        <f>(M30-AH30)*F30</f>
        <v>20048.367729534144</v>
      </c>
      <c r="AW30" s="37"/>
      <c r="AX30" s="37"/>
      <c r="AY30" s="37"/>
      <c r="AZ30" s="13"/>
    </row>
    <row r="31" spans="1:52" ht="35.25" customHeight="1">
      <c r="A31" s="38"/>
      <c r="B31" s="39" t="s">
        <v>22</v>
      </c>
      <c r="C31" s="40"/>
      <c r="D31" s="75">
        <f t="shared" si="24"/>
        <v>119.9</v>
      </c>
      <c r="E31" s="76"/>
      <c r="F31" s="76"/>
      <c r="G31" s="77">
        <v>119.9</v>
      </c>
      <c r="H31" s="76"/>
      <c r="I31" s="76"/>
      <c r="J31" s="76"/>
      <c r="K31" s="14">
        <f t="shared" si="5"/>
        <v>27.87164303586322</v>
      </c>
      <c r="L31" s="13"/>
      <c r="M31" s="122"/>
      <c r="N31" s="13">
        <v>27.87</v>
      </c>
      <c r="O31" s="13"/>
      <c r="P31" s="13"/>
      <c r="Q31" s="13"/>
      <c r="R31" s="14">
        <f t="shared" si="25"/>
        <v>3341.81</v>
      </c>
      <c r="S31" s="13"/>
      <c r="T31" s="13"/>
      <c r="U31" s="13">
        <v>3341.81</v>
      </c>
      <c r="V31" s="13"/>
      <c r="W31" s="13"/>
      <c r="X31" s="13"/>
      <c r="Y31" s="64">
        <f>SUM(Z31:AD31)</f>
        <v>117.83955600403633</v>
      </c>
      <c r="Z31" s="65"/>
      <c r="AA31" s="65"/>
      <c r="AB31" s="65">
        <f>AP31/AI31</f>
        <v>117.83955600403633</v>
      </c>
      <c r="AC31" s="65"/>
      <c r="AD31" s="65"/>
      <c r="AE31" s="65"/>
      <c r="AF31" s="14">
        <f>AM31/Y31</f>
        <v>19.82</v>
      </c>
      <c r="AG31" s="13"/>
      <c r="AH31" s="13"/>
      <c r="AI31" s="13">
        <v>19.82</v>
      </c>
      <c r="AJ31" s="13"/>
      <c r="AK31" s="13"/>
      <c r="AL31" s="13"/>
      <c r="AM31" s="14">
        <f>SUM(AN31:AR31)</f>
        <v>2335.58</v>
      </c>
      <c r="AN31" s="13"/>
      <c r="AO31" s="13"/>
      <c r="AP31" s="13">
        <v>2335.58</v>
      </c>
      <c r="AQ31" s="13"/>
      <c r="AR31" s="13"/>
      <c r="AS31" s="13"/>
      <c r="AT31" s="15">
        <f>SUM(AU31:AY31)</f>
        <v>965.1950000000002</v>
      </c>
      <c r="AU31" s="37"/>
      <c r="AV31" s="37"/>
      <c r="AW31" s="37">
        <f>(N31-AI31)*G31</f>
        <v>965.1950000000002</v>
      </c>
      <c r="AX31" s="37"/>
      <c r="AY31" s="37"/>
      <c r="AZ31" s="13"/>
    </row>
    <row r="32" spans="1:52" ht="42" customHeight="1">
      <c r="A32" s="9"/>
      <c r="B32" s="43" t="s">
        <v>25</v>
      </c>
      <c r="C32" s="32"/>
      <c r="D32" s="75">
        <f t="shared" si="24"/>
        <v>43111.29</v>
      </c>
      <c r="E32" s="34">
        <v>4579.16</v>
      </c>
      <c r="F32" s="34">
        <v>6465.07</v>
      </c>
      <c r="G32" s="34">
        <v>14561.14</v>
      </c>
      <c r="H32" s="34">
        <v>10063.23</v>
      </c>
      <c r="I32" s="34">
        <v>7442.69</v>
      </c>
      <c r="J32" s="96"/>
      <c r="K32" s="120">
        <f aca="true" t="shared" si="26" ref="K32:K45">R32/D32</f>
        <v>19.953799805109057</v>
      </c>
      <c r="L32" s="36">
        <v>19.95</v>
      </c>
      <c r="M32" s="36">
        <v>19.95</v>
      </c>
      <c r="N32" s="36">
        <v>19.95</v>
      </c>
      <c r="O32" s="36">
        <v>19.95</v>
      </c>
      <c r="P32" s="36">
        <v>19.95</v>
      </c>
      <c r="Q32" s="36"/>
      <c r="R32" s="14">
        <f t="shared" si="25"/>
        <v>860234.05</v>
      </c>
      <c r="S32" s="36">
        <v>91371.64</v>
      </c>
      <c r="T32" s="36">
        <v>129002.72</v>
      </c>
      <c r="U32" s="36">
        <v>290550.08</v>
      </c>
      <c r="V32" s="36">
        <v>200799.67</v>
      </c>
      <c r="W32" s="36">
        <v>148509.94</v>
      </c>
      <c r="X32" s="36"/>
      <c r="Y32" s="67">
        <f>SUM(Z32:AD32)</f>
        <v>42825.95328577769</v>
      </c>
      <c r="Z32" s="97">
        <f>AN32/AG32</f>
        <v>4356.833163784333</v>
      </c>
      <c r="AA32" s="97">
        <f>AO32/AH32</f>
        <v>6455.06561546287</v>
      </c>
      <c r="AB32" s="97">
        <f>AP32/AI32</f>
        <v>14512.021190716445</v>
      </c>
      <c r="AC32" s="97">
        <f>AQ32/AJ32</f>
        <v>10062.23033992897</v>
      </c>
      <c r="AD32" s="97">
        <f>AR32/AK32</f>
        <v>7439.802975885071</v>
      </c>
      <c r="AE32" s="97"/>
      <c r="AF32" s="121">
        <f t="shared" si="22"/>
        <v>19.69643277690047</v>
      </c>
      <c r="AG32" s="37">
        <v>19.66</v>
      </c>
      <c r="AH32" s="37">
        <v>19.66</v>
      </c>
      <c r="AI32" s="37">
        <v>19.82</v>
      </c>
      <c r="AJ32" s="37">
        <v>19.71</v>
      </c>
      <c r="AK32" s="37">
        <v>19.49</v>
      </c>
      <c r="AL32" s="37"/>
      <c r="AM32" s="15">
        <f>SUM(AN32:AS32)</f>
        <v>843518.51</v>
      </c>
      <c r="AN32" s="36">
        <f>85269.2+386.14</f>
        <v>85655.34</v>
      </c>
      <c r="AO32" s="36">
        <f>70225.3+36506.66+20174.63</f>
        <v>126906.59000000001</v>
      </c>
      <c r="AP32" s="36">
        <f>103381.93+184143.86+102.47</f>
        <v>287628.25999999995</v>
      </c>
      <c r="AQ32" s="36">
        <f>138071.17+45339.54+14731.63+91.47+92.75</f>
        <v>198326.56000000003</v>
      </c>
      <c r="AR32" s="36">
        <f>144462.26+539.5</f>
        <v>145001.76</v>
      </c>
      <c r="AS32" s="37"/>
      <c r="AT32" s="15">
        <f>SUM(AU32:AY32)</f>
        <v>10934.587499999965</v>
      </c>
      <c r="AU32" s="37">
        <f>(L32-AG32)*E32</f>
        <v>1327.9563999999962</v>
      </c>
      <c r="AV32" s="37">
        <f>(M32-AH32)*F32</f>
        <v>1874.8702999999944</v>
      </c>
      <c r="AW32" s="37">
        <f>(N32-AI32)*G32</f>
        <v>1892.9481999999855</v>
      </c>
      <c r="AX32" s="37">
        <f>(O32-AJ32)*H32</f>
        <v>2415.175199999984</v>
      </c>
      <c r="AY32" s="37">
        <f>(P32-AK32)*I32</f>
        <v>3423.637400000006</v>
      </c>
      <c r="AZ32" s="37"/>
    </row>
    <row r="33" spans="1:52" ht="84" customHeight="1">
      <c r="A33" s="74"/>
      <c r="B33" s="31" t="s">
        <v>27</v>
      </c>
      <c r="C33" s="40"/>
      <c r="D33" s="75">
        <f t="shared" si="24"/>
        <v>21970.57</v>
      </c>
      <c r="E33" s="65">
        <v>4813</v>
      </c>
      <c r="F33" s="65">
        <v>16173.07</v>
      </c>
      <c r="G33" s="76"/>
      <c r="H33" s="76"/>
      <c r="I33" s="76"/>
      <c r="J33" s="65">
        <v>984.5</v>
      </c>
      <c r="K33" s="14">
        <f t="shared" si="26"/>
        <v>28.650399602741302</v>
      </c>
      <c r="L33" s="13">
        <v>28.65</v>
      </c>
      <c r="M33" s="13">
        <v>28.65</v>
      </c>
      <c r="N33" s="13"/>
      <c r="O33" s="13"/>
      <c r="P33" s="13"/>
      <c r="Q33" s="13">
        <v>28.65</v>
      </c>
      <c r="R33" s="14">
        <f t="shared" si="25"/>
        <v>629465.61</v>
      </c>
      <c r="S33" s="13">
        <v>137894.38</v>
      </c>
      <c r="T33" s="13">
        <v>463364.91</v>
      </c>
      <c r="U33" s="13"/>
      <c r="V33" s="13"/>
      <c r="W33" s="13"/>
      <c r="X33" s="13">
        <v>28206.32</v>
      </c>
      <c r="Y33" s="64">
        <f>SUM(Z33:AE33)</f>
        <v>21901.277096479032</v>
      </c>
      <c r="Z33" s="65">
        <f>AN33/AG33</f>
        <v>4813.014242115972</v>
      </c>
      <c r="AA33" s="65">
        <f>AO33/AH33</f>
        <v>16103.805696846388</v>
      </c>
      <c r="AB33" s="65"/>
      <c r="AC33" s="65"/>
      <c r="AD33" s="65"/>
      <c r="AE33" s="65">
        <f>AS33/AL33</f>
        <v>984.4571575166752</v>
      </c>
      <c r="AF33" s="14">
        <f t="shared" si="22"/>
        <v>19.652358540735293</v>
      </c>
      <c r="AG33" s="13">
        <v>19.66</v>
      </c>
      <c r="AH33" s="13">
        <v>19.66</v>
      </c>
      <c r="AI33" s="13"/>
      <c r="AJ33" s="13"/>
      <c r="AK33" s="13"/>
      <c r="AL33" s="37">
        <v>19.49</v>
      </c>
      <c r="AM33" s="15">
        <f>SUM(AN33:AS33)</f>
        <v>430411.75</v>
      </c>
      <c r="AN33" s="13">
        <f>94623.86</f>
        <v>94623.86</v>
      </c>
      <c r="AO33" s="13">
        <f>249143.55+66445.51+965.39+46.37</f>
        <v>316600.82</v>
      </c>
      <c r="AP33" s="13"/>
      <c r="AQ33" s="13"/>
      <c r="AR33" s="13"/>
      <c r="AS33" s="37">
        <v>19187.07</v>
      </c>
      <c r="AT33" s="14">
        <f>SUM(AU33:AZ33)</f>
        <v>197682.78929999995</v>
      </c>
      <c r="AU33" s="37">
        <f>(L33-AG33)*E33</f>
        <v>43268.869999999995</v>
      </c>
      <c r="AV33" s="37">
        <f>(M33-AH33)*F33</f>
        <v>145395.89929999996</v>
      </c>
      <c r="AW33" s="37"/>
      <c r="AX33" s="37"/>
      <c r="AY33" s="37"/>
      <c r="AZ33" s="37">
        <f>(Q33-AL33)*J33</f>
        <v>9018.02</v>
      </c>
    </row>
    <row r="34" spans="1:52" ht="39.75" customHeight="1">
      <c r="A34" s="38"/>
      <c r="B34" s="39" t="s">
        <v>23</v>
      </c>
      <c r="C34" s="40"/>
      <c r="D34" s="75">
        <f t="shared" si="24"/>
        <v>643.968</v>
      </c>
      <c r="E34" s="76"/>
      <c r="F34" s="65">
        <v>643.968</v>
      </c>
      <c r="G34" s="76"/>
      <c r="H34" s="76"/>
      <c r="I34" s="76"/>
      <c r="J34" s="76"/>
      <c r="K34" s="14">
        <f t="shared" si="26"/>
        <v>21.086606787914928</v>
      </c>
      <c r="L34" s="13"/>
      <c r="M34" s="13">
        <v>21.09</v>
      </c>
      <c r="N34" s="13"/>
      <c r="O34" s="37"/>
      <c r="P34" s="37"/>
      <c r="Q34" s="37"/>
      <c r="R34" s="14">
        <f t="shared" si="25"/>
        <v>13579.1</v>
      </c>
      <c r="S34" s="13"/>
      <c r="T34" s="13">
        <v>13579.1</v>
      </c>
      <c r="U34" s="13"/>
      <c r="V34" s="13"/>
      <c r="W34" s="13"/>
      <c r="X34" s="13"/>
      <c r="Y34" s="67">
        <f>SUM(Z34:AD34)</f>
        <v>643.967955239064</v>
      </c>
      <c r="Z34" s="97"/>
      <c r="AA34" s="97">
        <f>AO34/AH34</f>
        <v>643.967955239064</v>
      </c>
      <c r="AB34" s="97"/>
      <c r="AC34" s="97"/>
      <c r="AD34" s="97"/>
      <c r="AE34" s="97"/>
      <c r="AF34" s="14">
        <f t="shared" si="22"/>
        <v>19.66</v>
      </c>
      <c r="AG34" s="37"/>
      <c r="AH34" s="37">
        <v>19.66</v>
      </c>
      <c r="AI34" s="37"/>
      <c r="AJ34" s="37"/>
      <c r="AK34" s="37"/>
      <c r="AL34" s="37"/>
      <c r="AM34" s="15">
        <f>SUM(AN34:AR34)</f>
        <v>12660.41</v>
      </c>
      <c r="AN34" s="13"/>
      <c r="AO34" s="13">
        <f>12392.93+267.48</f>
        <v>12660.41</v>
      </c>
      <c r="AP34" s="13"/>
      <c r="AQ34" s="13"/>
      <c r="AR34" s="13"/>
      <c r="AS34" s="37"/>
      <c r="AT34" s="14">
        <f>SUM(AU34:AZ34)</f>
        <v>920.8742399999998</v>
      </c>
      <c r="AU34" s="37"/>
      <c r="AV34" s="37">
        <f>(M34-AH34)*F34</f>
        <v>920.8742399999998</v>
      </c>
      <c r="AW34" s="37"/>
      <c r="AX34" s="37"/>
      <c r="AY34" s="37"/>
      <c r="AZ34" s="13"/>
    </row>
    <row r="35" spans="1:52" ht="39.75" customHeight="1">
      <c r="A35" s="38"/>
      <c r="B35" s="39" t="s">
        <v>44</v>
      </c>
      <c r="C35" s="40"/>
      <c r="D35" s="75">
        <f t="shared" si="24"/>
        <v>0</v>
      </c>
      <c r="E35" s="76"/>
      <c r="F35" s="76"/>
      <c r="G35" s="76"/>
      <c r="H35" s="76">
        <f>V35/O35</f>
        <v>0</v>
      </c>
      <c r="I35" s="76"/>
      <c r="J35" s="76"/>
      <c r="K35" s="14" t="e">
        <f t="shared" si="26"/>
        <v>#DIV/0!</v>
      </c>
      <c r="L35" s="13"/>
      <c r="M35" s="37"/>
      <c r="N35" s="13"/>
      <c r="O35" s="37">
        <v>34.89</v>
      </c>
      <c r="P35" s="37"/>
      <c r="Q35" s="37"/>
      <c r="R35" s="14">
        <f t="shared" si="25"/>
        <v>0</v>
      </c>
      <c r="S35" s="13"/>
      <c r="T35" s="13"/>
      <c r="U35" s="13"/>
      <c r="V35" s="13"/>
      <c r="W35" s="13"/>
      <c r="X35" s="37"/>
      <c r="Y35" s="67">
        <f>SUM(Z35:AD35)</f>
        <v>449.20903094875695</v>
      </c>
      <c r="Z35" s="97"/>
      <c r="AA35" s="97"/>
      <c r="AB35" s="97"/>
      <c r="AC35" s="97">
        <f>AQ35/AJ35</f>
        <v>449.20903094875695</v>
      </c>
      <c r="AD35" s="97"/>
      <c r="AE35" s="97"/>
      <c r="AF35" s="14">
        <f t="shared" si="22"/>
        <v>19.71</v>
      </c>
      <c r="AG35" s="37"/>
      <c r="AH35" s="37"/>
      <c r="AI35" s="37"/>
      <c r="AJ35" s="37">
        <v>19.71</v>
      </c>
      <c r="AK35" s="37"/>
      <c r="AL35" s="37"/>
      <c r="AM35" s="15">
        <f>SUM(AN35:AR35)</f>
        <v>8853.91</v>
      </c>
      <c r="AN35" s="13"/>
      <c r="AO35" s="13"/>
      <c r="AP35" s="13"/>
      <c r="AQ35" s="13">
        <v>8853.91</v>
      </c>
      <c r="AR35" s="13"/>
      <c r="AS35" s="37"/>
      <c r="AT35" s="14">
        <f>SUM(AU35:AZ35)</f>
        <v>0</v>
      </c>
      <c r="AU35" s="37"/>
      <c r="AV35" s="37"/>
      <c r="AW35" s="37"/>
      <c r="AX35" s="37">
        <f>(O35-AJ35)*H35</f>
        <v>0</v>
      </c>
      <c r="AY35" s="37"/>
      <c r="AZ35" s="13"/>
    </row>
    <row r="36" spans="1:52" ht="43.5" customHeight="1" thickBot="1">
      <c r="A36" s="78"/>
      <c r="B36" s="79" t="s">
        <v>26</v>
      </c>
      <c r="C36" s="80"/>
      <c r="D36" s="75">
        <f t="shared" si="24"/>
        <v>892.788</v>
      </c>
      <c r="E36" s="81"/>
      <c r="F36" s="81"/>
      <c r="G36" s="81"/>
      <c r="H36" s="81"/>
      <c r="I36" s="34">
        <v>892.788</v>
      </c>
      <c r="J36" s="96"/>
      <c r="K36" s="82">
        <f t="shared" si="26"/>
        <v>26.77419499366031</v>
      </c>
      <c r="L36" s="83"/>
      <c r="M36" s="83"/>
      <c r="N36" s="83"/>
      <c r="O36" s="83"/>
      <c r="P36" s="84">
        <v>26.77</v>
      </c>
      <c r="Q36" s="84"/>
      <c r="R36" s="14">
        <f t="shared" si="25"/>
        <v>23903.68</v>
      </c>
      <c r="S36" s="83"/>
      <c r="T36" s="83"/>
      <c r="U36" s="83"/>
      <c r="V36" s="83"/>
      <c r="W36" s="83">
        <v>23903.68</v>
      </c>
      <c r="X36" s="84"/>
      <c r="Y36" s="87">
        <f>SUM(Z36:AD36)</f>
        <v>892.7875833760904</v>
      </c>
      <c r="Z36" s="99"/>
      <c r="AA36" s="99"/>
      <c r="AB36" s="99"/>
      <c r="AC36" s="99"/>
      <c r="AD36" s="99">
        <f>AR36/AK36</f>
        <v>892.7875833760904</v>
      </c>
      <c r="AE36" s="99"/>
      <c r="AF36" s="85">
        <f t="shared" si="22"/>
        <v>19.49</v>
      </c>
      <c r="AG36" s="84"/>
      <c r="AH36" s="84"/>
      <c r="AI36" s="84"/>
      <c r="AJ36" s="84"/>
      <c r="AK36" s="84">
        <v>19.49</v>
      </c>
      <c r="AL36" s="84"/>
      <c r="AM36" s="86">
        <f>SUM(AN36:AR36)</f>
        <v>17400.43</v>
      </c>
      <c r="AN36" s="83"/>
      <c r="AO36" s="83"/>
      <c r="AP36" s="83"/>
      <c r="AQ36" s="83"/>
      <c r="AR36" s="83">
        <v>17400.43</v>
      </c>
      <c r="AS36" s="84"/>
      <c r="AT36" s="14">
        <f>SUM(AU36:AZ36)</f>
        <v>6499.496640000001</v>
      </c>
      <c r="AU36" s="36"/>
      <c r="AV36" s="36"/>
      <c r="AW36" s="36"/>
      <c r="AX36" s="36"/>
      <c r="AY36" s="37">
        <f>(P36-AK36)*I36</f>
        <v>6499.496640000001</v>
      </c>
      <c r="AZ36" s="50"/>
    </row>
    <row r="37" spans="1:65" s="29" customFormat="1" ht="36.75" customHeight="1" thickBot="1">
      <c r="A37" s="23">
        <v>4</v>
      </c>
      <c r="B37" s="24" t="s">
        <v>3</v>
      </c>
      <c r="C37" s="24" t="s">
        <v>5</v>
      </c>
      <c r="D37" s="59">
        <f aca="true" t="shared" si="27" ref="D37:J37">SUM(D38:D45)</f>
        <v>97849.98599999999</v>
      </c>
      <c r="E37" s="59">
        <f t="shared" si="27"/>
        <v>9801.220000000001</v>
      </c>
      <c r="F37" s="59">
        <f t="shared" si="27"/>
        <v>40771.812999999995</v>
      </c>
      <c r="G37" s="59">
        <f t="shared" si="27"/>
        <v>23858.469999999998</v>
      </c>
      <c r="H37" s="59">
        <f t="shared" si="27"/>
        <v>10697.86</v>
      </c>
      <c r="I37" s="59">
        <f t="shared" si="27"/>
        <v>12720.623</v>
      </c>
      <c r="J37" s="59">
        <f t="shared" si="27"/>
        <v>0</v>
      </c>
      <c r="K37" s="28">
        <f t="shared" si="26"/>
        <v>25.2115938984396</v>
      </c>
      <c r="L37" s="28">
        <f>S37/E37</f>
        <v>23.782793366540083</v>
      </c>
      <c r="M37" s="28">
        <f>T37/F37</f>
        <v>33.305426962494906</v>
      </c>
      <c r="N37" s="28">
        <f>U37/G37</f>
        <v>19.13190745257345</v>
      </c>
      <c r="O37" s="28">
        <f>V37/H37</f>
        <v>16.702232035192086</v>
      </c>
      <c r="P37" s="28">
        <f>W37/I37</f>
        <v>18.929489538366163</v>
      </c>
      <c r="Q37" s="28"/>
      <c r="R37" s="27">
        <f aca="true" t="shared" si="28" ref="R37:AE37">SUM(R38:R45)</f>
        <v>2466954.11</v>
      </c>
      <c r="S37" s="61">
        <f t="shared" si="28"/>
        <v>233100.39</v>
      </c>
      <c r="T37" s="61">
        <f t="shared" si="28"/>
        <v>1357922.6400000001</v>
      </c>
      <c r="U37" s="61">
        <f t="shared" si="28"/>
        <v>456458.04000000004</v>
      </c>
      <c r="V37" s="61">
        <f t="shared" si="28"/>
        <v>178678.14</v>
      </c>
      <c r="W37" s="61">
        <f t="shared" si="28"/>
        <v>240794.9</v>
      </c>
      <c r="X37" s="61">
        <f t="shared" si="28"/>
        <v>0</v>
      </c>
      <c r="Y37" s="59">
        <f t="shared" si="28"/>
        <v>98213.43688626587</v>
      </c>
      <c r="Z37" s="59">
        <f t="shared" si="28"/>
        <v>9700.278362573099</v>
      </c>
      <c r="AA37" s="59">
        <f t="shared" si="28"/>
        <v>40957.137</v>
      </c>
      <c r="AB37" s="59">
        <f t="shared" si="28"/>
        <v>22836.306078314745</v>
      </c>
      <c r="AC37" s="59">
        <f t="shared" si="28"/>
        <v>11597.566126914575</v>
      </c>
      <c r="AD37" s="59">
        <f t="shared" si="28"/>
        <v>13122.149318463446</v>
      </c>
      <c r="AE37" s="59">
        <f t="shared" si="28"/>
        <v>0</v>
      </c>
      <c r="AF37" s="86">
        <f t="shared" si="22"/>
        <v>16.66915222502448</v>
      </c>
      <c r="AG37" s="101">
        <f>AN37/Z37</f>
        <v>17.1</v>
      </c>
      <c r="AH37" s="101">
        <f>AO37/AA37</f>
        <v>17.379966036200234</v>
      </c>
      <c r="AI37" s="101">
        <f>AP37/AB37</f>
        <v>16.391139999452278</v>
      </c>
      <c r="AJ37" s="101">
        <f>AQ37/AC37</f>
        <v>14.944664949809658</v>
      </c>
      <c r="AK37" s="27">
        <f>AR37/AD37</f>
        <v>16.14</v>
      </c>
      <c r="AL37" s="27"/>
      <c r="AM37" s="27">
        <f aca="true" t="shared" si="29" ref="AM37:AZ37">SUM(AM38:AM45)</f>
        <v>1637134.73</v>
      </c>
      <c r="AN37" s="27">
        <f t="shared" si="29"/>
        <v>165874.76</v>
      </c>
      <c r="AO37" s="27">
        <f t="shared" si="29"/>
        <v>711833.65</v>
      </c>
      <c r="AP37" s="27">
        <f t="shared" si="29"/>
        <v>374313.09</v>
      </c>
      <c r="AQ37" s="27">
        <f t="shared" si="29"/>
        <v>173321.74</v>
      </c>
      <c r="AR37" s="27">
        <f t="shared" si="29"/>
        <v>211791.49000000002</v>
      </c>
      <c r="AS37" s="27">
        <f t="shared" si="29"/>
        <v>0</v>
      </c>
      <c r="AT37" s="118">
        <f t="shared" si="29"/>
        <v>835028.24731</v>
      </c>
      <c r="AU37" s="27">
        <f t="shared" si="29"/>
        <v>65448.70079999999</v>
      </c>
      <c r="AV37" s="27">
        <f t="shared" si="29"/>
        <v>649214.1545200001</v>
      </c>
      <c r="AW37" s="27">
        <f t="shared" si="29"/>
        <v>65604.3195</v>
      </c>
      <c r="AX37" s="27">
        <f t="shared" si="29"/>
        <v>19296.8873</v>
      </c>
      <c r="AY37" s="27">
        <f t="shared" si="29"/>
        <v>35464.18519</v>
      </c>
      <c r="AZ37" s="27">
        <f t="shared" si="29"/>
        <v>0</v>
      </c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</row>
    <row r="38" spans="1:52" s="4" customFormat="1" ht="56.25" customHeight="1">
      <c r="A38" s="123"/>
      <c r="B38" s="124" t="s">
        <v>39</v>
      </c>
      <c r="C38" s="72"/>
      <c r="D38" s="100">
        <f>SUM(E38:I38)</f>
        <v>14487.633</v>
      </c>
      <c r="E38" s="37"/>
      <c r="F38" s="128">
        <v>14487.633</v>
      </c>
      <c r="G38" s="37"/>
      <c r="H38" s="37"/>
      <c r="I38" s="37"/>
      <c r="J38" s="37"/>
      <c r="K38" s="63">
        <f>R38/D38</f>
        <v>40.219999360834166</v>
      </c>
      <c r="L38" s="73"/>
      <c r="M38" s="73">
        <v>40.22</v>
      </c>
      <c r="N38" s="73"/>
      <c r="O38" s="73"/>
      <c r="P38" s="73"/>
      <c r="Q38" s="37"/>
      <c r="R38" s="15">
        <f>SUM(S38:W38)</f>
        <v>582692.59</v>
      </c>
      <c r="S38" s="13"/>
      <c r="T38" s="13">
        <v>582692.59</v>
      </c>
      <c r="U38" s="13"/>
      <c r="V38" s="13"/>
      <c r="W38" s="13"/>
      <c r="X38" s="13"/>
      <c r="Y38" s="67">
        <f>SUM(Z38:AD38)</f>
        <v>14512.561</v>
      </c>
      <c r="Z38" s="97"/>
      <c r="AA38" s="97">
        <f>ROUND(AO38/AH38,3)</f>
        <v>14512.561</v>
      </c>
      <c r="AB38" s="97"/>
      <c r="AC38" s="97"/>
      <c r="AD38" s="97"/>
      <c r="AE38" s="97"/>
      <c r="AF38" s="14">
        <f>AM38/Y38</f>
        <v>17.379999987596953</v>
      </c>
      <c r="AG38" s="37"/>
      <c r="AH38" s="37">
        <v>17.38</v>
      </c>
      <c r="AI38" s="13"/>
      <c r="AJ38" s="13"/>
      <c r="AK38" s="13"/>
      <c r="AL38" s="37"/>
      <c r="AM38" s="15">
        <f>SUM(AN38:AR38)</f>
        <v>252228.31</v>
      </c>
      <c r="AN38" s="13"/>
      <c r="AO38" s="13">
        <f>15283.27+236945.04</f>
        <v>252228.31</v>
      </c>
      <c r="AP38" s="13"/>
      <c r="AQ38" s="13"/>
      <c r="AR38" s="13"/>
      <c r="AS38" s="13"/>
      <c r="AT38" s="15">
        <f>SUM(AU38:AY38)</f>
        <v>330897.53772</v>
      </c>
      <c r="AU38" s="37"/>
      <c r="AV38" s="37">
        <f>(M38-AH38)*F38</f>
        <v>330897.53772</v>
      </c>
      <c r="AW38" s="37"/>
      <c r="AX38" s="37"/>
      <c r="AY38" s="37"/>
      <c r="AZ38" s="13"/>
    </row>
    <row r="39" spans="1:52" ht="45.75" customHeight="1">
      <c r="A39" s="38"/>
      <c r="B39" s="39" t="s">
        <v>24</v>
      </c>
      <c r="C39" s="40"/>
      <c r="D39" s="14">
        <f>SUM(E39:I39)</f>
        <v>647.3</v>
      </c>
      <c r="E39" s="13"/>
      <c r="F39" s="13"/>
      <c r="G39" s="13">
        <v>647.3</v>
      </c>
      <c r="H39" s="13"/>
      <c r="I39" s="13"/>
      <c r="J39" s="13"/>
      <c r="K39" s="14">
        <f>R39/D39</f>
        <v>27.74178896956589</v>
      </c>
      <c r="L39" s="13"/>
      <c r="M39" s="13"/>
      <c r="N39" s="13">
        <v>27.74</v>
      </c>
      <c r="O39" s="13"/>
      <c r="P39" s="13"/>
      <c r="Q39" s="13"/>
      <c r="R39" s="14">
        <f>SUM(S39:W39)</f>
        <v>17957.26</v>
      </c>
      <c r="S39" s="13"/>
      <c r="T39" s="13"/>
      <c r="U39" s="13">
        <v>17957.26</v>
      </c>
      <c r="V39" s="13"/>
      <c r="W39" s="13"/>
      <c r="X39" s="13"/>
      <c r="Y39" s="64">
        <f>SUM(Z39:AD39)</f>
        <v>739.9036</v>
      </c>
      <c r="Z39" s="65">
        <f>AN39/AG39</f>
        <v>92.6</v>
      </c>
      <c r="AA39" s="65"/>
      <c r="AB39" s="65">
        <f>AP39/AI39</f>
        <v>647.3036</v>
      </c>
      <c r="AC39" s="65"/>
      <c r="AD39" s="65"/>
      <c r="AE39" s="97"/>
      <c r="AF39" s="14">
        <f>AM39/Y39</f>
        <v>24.011303634689707</v>
      </c>
      <c r="AG39" s="127">
        <v>17.1</v>
      </c>
      <c r="AH39" s="13"/>
      <c r="AI39" s="127">
        <v>25</v>
      </c>
      <c r="AJ39" s="13"/>
      <c r="AK39" s="13"/>
      <c r="AL39" s="13"/>
      <c r="AM39" s="14">
        <f>SUM(AN39:AR39)</f>
        <v>17766.05</v>
      </c>
      <c r="AN39" s="13">
        <f>1583.46</f>
        <v>1583.46</v>
      </c>
      <c r="AO39" s="13"/>
      <c r="AP39" s="13">
        <f>6506.07+9676.52</f>
        <v>16182.59</v>
      </c>
      <c r="AQ39" s="13"/>
      <c r="AR39" s="13"/>
      <c r="AS39" s="13"/>
      <c r="AT39" s="15">
        <f>SUM(AU39:AY39)</f>
        <v>1773.601999999999</v>
      </c>
      <c r="AU39" s="37"/>
      <c r="AV39" s="37"/>
      <c r="AW39" s="37">
        <f>(N39-AI39)*G39</f>
        <v>1773.601999999999</v>
      </c>
      <c r="AX39" s="37"/>
      <c r="AY39" s="37"/>
      <c r="AZ39" s="13"/>
    </row>
    <row r="40" spans="1:52" ht="46.5" customHeight="1">
      <c r="A40" s="9"/>
      <c r="B40" s="43" t="s">
        <v>25</v>
      </c>
      <c r="C40" s="10"/>
      <c r="D40" s="15">
        <f aca="true" t="shared" si="30" ref="D40:D45">SUM(E40:I40)</f>
        <v>47437.619999999995</v>
      </c>
      <c r="E40" s="34">
        <v>4448.76</v>
      </c>
      <c r="F40" s="34">
        <v>1567.48</v>
      </c>
      <c r="G40" s="34">
        <v>23211.17</v>
      </c>
      <c r="H40" s="34">
        <v>6759.25</v>
      </c>
      <c r="I40" s="34">
        <v>11450.96</v>
      </c>
      <c r="J40" s="96"/>
      <c r="K40" s="120">
        <f t="shared" si="26"/>
        <v>18.891800221006033</v>
      </c>
      <c r="L40" s="37">
        <v>18.89</v>
      </c>
      <c r="M40" s="37">
        <v>18.89</v>
      </c>
      <c r="N40" s="37">
        <v>18.89</v>
      </c>
      <c r="O40" s="37">
        <v>18.89</v>
      </c>
      <c r="P40" s="37">
        <v>18.89</v>
      </c>
      <c r="Q40" s="37"/>
      <c r="R40" s="15">
        <f aca="true" t="shared" si="31" ref="R40:R45">SUM(S40:W40)</f>
        <v>896182.04</v>
      </c>
      <c r="S40" s="37">
        <v>84045.08</v>
      </c>
      <c r="T40" s="37">
        <v>29612.52</v>
      </c>
      <c r="U40" s="37">
        <v>438500.78</v>
      </c>
      <c r="V40" s="37">
        <v>127694.41</v>
      </c>
      <c r="W40" s="37">
        <v>216329.25</v>
      </c>
      <c r="X40" s="37"/>
      <c r="Y40" s="67">
        <f aca="true" t="shared" si="32" ref="Y40:Y45">SUM(Z40:AD40)</f>
        <v>46659.47706976239</v>
      </c>
      <c r="Z40" s="97">
        <f>AN40/AG40</f>
        <v>4254.9725146198825</v>
      </c>
      <c r="AA40" s="97">
        <f>ROUND(AO40/AH40,3)</f>
        <v>1572.468</v>
      </c>
      <c r="AB40" s="97">
        <f>AP40/AI40</f>
        <v>22189.002478314746</v>
      </c>
      <c r="AC40" s="97">
        <f>AQ40/AJ40</f>
        <v>6790.547087980172</v>
      </c>
      <c r="AD40" s="97">
        <f>AR40/AK40</f>
        <v>11852.486988847584</v>
      </c>
      <c r="AE40" s="97"/>
      <c r="AF40" s="15">
        <f t="shared" si="22"/>
        <v>16.26933364180255</v>
      </c>
      <c r="AG40" s="37">
        <v>17.1</v>
      </c>
      <c r="AH40" s="37">
        <v>17.38</v>
      </c>
      <c r="AI40" s="37">
        <v>16.14</v>
      </c>
      <c r="AJ40" s="37">
        <v>16.14</v>
      </c>
      <c r="AK40" s="37">
        <v>16.14</v>
      </c>
      <c r="AL40" s="37"/>
      <c r="AM40" s="15">
        <f aca="true" t="shared" si="33" ref="AM40:AM45">SUM(AN40:AR40)</f>
        <v>759118.6</v>
      </c>
      <c r="AN40" s="37">
        <f>72760.03</f>
        <v>72760.03</v>
      </c>
      <c r="AO40" s="37">
        <f>9711.79+86.9+17530.81</f>
        <v>27329.5</v>
      </c>
      <c r="AP40" s="37">
        <f>50310.4+77672.16+82148.17+147999.77</f>
        <v>358130.5</v>
      </c>
      <c r="AQ40" s="37">
        <f>109599.43</f>
        <v>109599.43</v>
      </c>
      <c r="AR40" s="37">
        <f>65503.16+125795.98</f>
        <v>191299.14</v>
      </c>
      <c r="AS40" s="37"/>
      <c r="AT40" s="15">
        <f aca="true" t="shared" si="34" ref="AT40:AT45">SUM(AU40:AY40)</f>
        <v>124238.9702</v>
      </c>
      <c r="AU40" s="37">
        <f>(L40-AG40)*E40</f>
        <v>7963.280399999997</v>
      </c>
      <c r="AV40" s="37">
        <f>(M40-AH40)*F40</f>
        <v>2366.8948000000023</v>
      </c>
      <c r="AW40" s="37">
        <f>(N40-AI40)*G40</f>
        <v>63830.7175</v>
      </c>
      <c r="AX40" s="37">
        <f>(O40-AJ40)*H40</f>
        <v>18587.9375</v>
      </c>
      <c r="AY40" s="37">
        <f aca="true" t="shared" si="35" ref="AX40:AY43">(P40-AK40)*I40</f>
        <v>31490.14</v>
      </c>
      <c r="AZ40" s="37"/>
    </row>
    <row r="41" spans="1:52" ht="47.25" customHeight="1">
      <c r="A41" s="38"/>
      <c r="B41" s="43" t="s">
        <v>29</v>
      </c>
      <c r="C41" s="10"/>
      <c r="D41" s="15">
        <f t="shared" si="30"/>
        <v>3938.61</v>
      </c>
      <c r="E41" s="13"/>
      <c r="F41" s="13"/>
      <c r="G41" s="13"/>
      <c r="H41" s="65">
        <v>3938.61</v>
      </c>
      <c r="I41" s="13"/>
      <c r="J41" s="13"/>
      <c r="K41" s="14">
        <f t="shared" si="26"/>
        <v>12.944599744579941</v>
      </c>
      <c r="L41" s="37"/>
      <c r="M41" s="37"/>
      <c r="N41" s="37"/>
      <c r="O41" s="37">
        <v>12.94</v>
      </c>
      <c r="P41" s="37"/>
      <c r="Q41" s="37"/>
      <c r="R41" s="15">
        <f t="shared" si="31"/>
        <v>50983.73</v>
      </c>
      <c r="S41" s="13"/>
      <c r="T41" s="13"/>
      <c r="U41" s="13"/>
      <c r="V41" s="13">
        <v>50983.73</v>
      </c>
      <c r="W41" s="13"/>
      <c r="X41" s="37"/>
      <c r="Y41" s="67">
        <f t="shared" si="32"/>
        <v>4101.472570532916</v>
      </c>
      <c r="Z41" s="97"/>
      <c r="AA41" s="65"/>
      <c r="AB41" s="97"/>
      <c r="AC41" s="97">
        <f>AQ41/AJ41</f>
        <v>4101.472570532916</v>
      </c>
      <c r="AD41" s="97"/>
      <c r="AE41" s="97"/>
      <c r="AF41" s="14">
        <f t="shared" si="22"/>
        <v>12.76</v>
      </c>
      <c r="AG41" s="37"/>
      <c r="AH41" s="37"/>
      <c r="AI41" s="13"/>
      <c r="AJ41" s="13">
        <v>12.76</v>
      </c>
      <c r="AK41" s="13"/>
      <c r="AL41" s="37"/>
      <c r="AM41" s="15">
        <f t="shared" si="33"/>
        <v>52334.79</v>
      </c>
      <c r="AN41" s="13"/>
      <c r="AO41" s="13"/>
      <c r="AP41" s="13"/>
      <c r="AQ41" s="13">
        <f>12877.38+27991.8+11465.61</f>
        <v>52334.79</v>
      </c>
      <c r="AR41" s="13"/>
      <c r="AS41" s="37"/>
      <c r="AT41" s="15">
        <f t="shared" si="34"/>
        <v>708.949799999999</v>
      </c>
      <c r="AU41" s="37"/>
      <c r="AV41" s="37"/>
      <c r="AW41" s="37"/>
      <c r="AX41" s="37">
        <f t="shared" si="35"/>
        <v>708.949799999999</v>
      </c>
      <c r="AY41" s="37"/>
      <c r="AZ41" s="13"/>
    </row>
    <row r="42" spans="1:52" s="4" customFormat="1" ht="39.75" customHeight="1">
      <c r="A42" s="66"/>
      <c r="B42" s="39" t="s">
        <v>44</v>
      </c>
      <c r="C42" s="39"/>
      <c r="D42" s="15">
        <f>SUM(E42:I42)</f>
        <v>0</v>
      </c>
      <c r="E42" s="37"/>
      <c r="F42" s="37"/>
      <c r="G42" s="37"/>
      <c r="H42" s="37">
        <f>V42/O42</f>
        <v>0</v>
      </c>
      <c r="I42" s="37"/>
      <c r="J42" s="37"/>
      <c r="K42" s="14" t="e">
        <f>R42/D42</f>
        <v>#DIV/0!</v>
      </c>
      <c r="L42" s="13"/>
      <c r="M42" s="37"/>
      <c r="N42" s="13"/>
      <c r="O42" s="37">
        <v>22.4</v>
      </c>
      <c r="P42" s="37"/>
      <c r="Q42" s="37"/>
      <c r="R42" s="15">
        <f>SUM(S42:W42)</f>
        <v>0</v>
      </c>
      <c r="S42" s="13"/>
      <c r="T42" s="13"/>
      <c r="U42" s="13"/>
      <c r="V42" s="13"/>
      <c r="W42" s="13"/>
      <c r="X42" s="37"/>
      <c r="Y42" s="67">
        <f>SUM(Z42:AD42)</f>
        <v>705.546468401487</v>
      </c>
      <c r="Z42" s="97"/>
      <c r="AA42" s="97"/>
      <c r="AB42" s="97"/>
      <c r="AC42" s="97">
        <f>AQ42/AJ42</f>
        <v>705.546468401487</v>
      </c>
      <c r="AD42" s="97"/>
      <c r="AE42" s="97"/>
      <c r="AF42" s="14">
        <f>AM42/Y42</f>
        <v>16.14</v>
      </c>
      <c r="AG42" s="37"/>
      <c r="AH42" s="37"/>
      <c r="AI42" s="13"/>
      <c r="AJ42" s="13">
        <v>16.14</v>
      </c>
      <c r="AK42" s="13"/>
      <c r="AL42" s="37"/>
      <c r="AM42" s="15">
        <f>SUM(AN42:AR42)</f>
        <v>11387.52</v>
      </c>
      <c r="AN42" s="13"/>
      <c r="AO42" s="13"/>
      <c r="AP42" s="13"/>
      <c r="AQ42" s="13">
        <f>4137.35+7250.17</f>
        <v>11387.52</v>
      </c>
      <c r="AR42" s="13"/>
      <c r="AS42" s="37"/>
      <c r="AT42" s="15">
        <f>SUM(AU42:AY42)</f>
        <v>0</v>
      </c>
      <c r="AU42" s="37"/>
      <c r="AV42" s="37"/>
      <c r="AW42" s="37"/>
      <c r="AX42" s="37">
        <f t="shared" si="35"/>
        <v>0</v>
      </c>
      <c r="AY42" s="37"/>
      <c r="AZ42" s="13"/>
    </row>
    <row r="43" spans="1:52" ht="43.5" customHeight="1">
      <c r="A43" s="66"/>
      <c r="B43" s="39" t="s">
        <v>26</v>
      </c>
      <c r="C43" s="39"/>
      <c r="D43" s="64">
        <f>SUM(E43:I43)</f>
        <v>1269.663</v>
      </c>
      <c r="E43" s="125"/>
      <c r="F43" s="125"/>
      <c r="G43" s="125"/>
      <c r="H43" s="125"/>
      <c r="I43" s="128">
        <v>1269.663</v>
      </c>
      <c r="J43" s="13"/>
      <c r="K43" s="126">
        <f>R43/D43</f>
        <v>19.26940455853246</v>
      </c>
      <c r="L43" s="13"/>
      <c r="M43" s="13"/>
      <c r="N43" s="13"/>
      <c r="O43" s="13"/>
      <c r="P43" s="13">
        <v>19.27</v>
      </c>
      <c r="Q43" s="13"/>
      <c r="R43" s="14">
        <f>SUM(S43:W43)</f>
        <v>24465.65</v>
      </c>
      <c r="S43" s="13"/>
      <c r="T43" s="13"/>
      <c r="U43" s="13"/>
      <c r="V43" s="13"/>
      <c r="W43" s="13">
        <v>24465.65</v>
      </c>
      <c r="X43" s="13"/>
      <c r="Y43" s="64">
        <f>SUM(Z43:AD43)</f>
        <v>1269.6623296158612</v>
      </c>
      <c r="Z43" s="65"/>
      <c r="AA43" s="65"/>
      <c r="AB43" s="65"/>
      <c r="AC43" s="65"/>
      <c r="AD43" s="65">
        <f>AR43/AK43</f>
        <v>1269.6623296158612</v>
      </c>
      <c r="AE43" s="65"/>
      <c r="AF43" s="14">
        <f>AM43/Y43</f>
        <v>16.14</v>
      </c>
      <c r="AG43" s="13"/>
      <c r="AH43" s="13"/>
      <c r="AI43" s="13"/>
      <c r="AJ43" s="13"/>
      <c r="AK43" s="13">
        <v>16.14</v>
      </c>
      <c r="AL43" s="13"/>
      <c r="AM43" s="14">
        <f>SUM(AN43:AR43)</f>
        <v>20492.35</v>
      </c>
      <c r="AN43" s="13"/>
      <c r="AO43" s="13"/>
      <c r="AP43" s="13"/>
      <c r="AQ43" s="13"/>
      <c r="AR43" s="13">
        <f>7380.51+13111.84</f>
        <v>20492.35</v>
      </c>
      <c r="AS43" s="13"/>
      <c r="AT43" s="14">
        <f>SUM(AU43:AY43)</f>
        <v>3974.045189999999</v>
      </c>
      <c r="AU43" s="37"/>
      <c r="AV43" s="37"/>
      <c r="AW43" s="37"/>
      <c r="AX43" s="37"/>
      <c r="AY43" s="37">
        <f t="shared" si="35"/>
        <v>3974.045189999999</v>
      </c>
      <c r="AZ43" s="13"/>
    </row>
    <row r="44" spans="1:52" ht="81.75" customHeight="1">
      <c r="A44" s="9"/>
      <c r="B44" s="43" t="s">
        <v>27</v>
      </c>
      <c r="C44" s="10"/>
      <c r="D44" s="15">
        <f t="shared" si="30"/>
        <v>10407.16</v>
      </c>
      <c r="E44" s="97">
        <v>5352.46</v>
      </c>
      <c r="F44" s="97">
        <v>5054.7</v>
      </c>
      <c r="G44" s="37"/>
      <c r="H44" s="37"/>
      <c r="I44" s="37"/>
      <c r="J44" s="37"/>
      <c r="K44" s="15">
        <f t="shared" si="26"/>
        <v>27.847999838572672</v>
      </c>
      <c r="L44" s="37">
        <v>27.84</v>
      </c>
      <c r="M44" s="37">
        <v>27.84</v>
      </c>
      <c r="N44" s="37"/>
      <c r="O44" s="37"/>
      <c r="P44" s="37"/>
      <c r="Q44" s="37"/>
      <c r="R44" s="15">
        <f t="shared" si="31"/>
        <v>289818.58999999997</v>
      </c>
      <c r="S44" s="37">
        <v>149055.31</v>
      </c>
      <c r="T44" s="37">
        <v>140763.28</v>
      </c>
      <c r="U44" s="37"/>
      <c r="V44" s="37"/>
      <c r="W44" s="37"/>
      <c r="X44" s="37"/>
      <c r="Y44" s="67">
        <f t="shared" si="32"/>
        <v>10562.813847953217</v>
      </c>
      <c r="Z44" s="97">
        <f>AN44/AG44</f>
        <v>5352.705847953216</v>
      </c>
      <c r="AA44" s="97">
        <f>ROUND(AO44/AH44,3)</f>
        <v>5210.108</v>
      </c>
      <c r="AB44" s="97"/>
      <c r="AC44" s="97"/>
      <c r="AD44" s="97"/>
      <c r="AE44" s="97"/>
      <c r="AF44" s="15">
        <f t="shared" si="22"/>
        <v>17.238110282070593</v>
      </c>
      <c r="AG44" s="37">
        <v>17.1</v>
      </c>
      <c r="AH44" s="37">
        <v>17.38</v>
      </c>
      <c r="AI44" s="37"/>
      <c r="AJ44" s="37"/>
      <c r="AK44" s="37"/>
      <c r="AL44" s="37"/>
      <c r="AM44" s="15">
        <f>SUM(AN44:AS44)</f>
        <v>182082.95</v>
      </c>
      <c r="AN44" s="37">
        <f>10455.94+81075.33</f>
        <v>91531.27</v>
      </c>
      <c r="AO44" s="37">
        <f>32450.85+58100.83</f>
        <v>90551.68</v>
      </c>
      <c r="AP44" s="37"/>
      <c r="AQ44" s="37"/>
      <c r="AR44" s="37"/>
      <c r="AS44" s="37"/>
      <c r="AT44" s="15">
        <f t="shared" si="34"/>
        <v>110357.5824</v>
      </c>
      <c r="AU44" s="37">
        <f>(L44-AG44)*E44</f>
        <v>57485.420399999995</v>
      </c>
      <c r="AV44" s="37">
        <f>(M44-AH44)*F44</f>
        <v>52872.162000000004</v>
      </c>
      <c r="AW44" s="37"/>
      <c r="AX44" s="37"/>
      <c r="AY44" s="37"/>
      <c r="AZ44" s="13"/>
    </row>
    <row r="45" spans="1:52" ht="81.75" customHeight="1" thickBot="1">
      <c r="A45" s="38"/>
      <c r="B45" s="39" t="s">
        <v>28</v>
      </c>
      <c r="C45" s="40"/>
      <c r="D45" s="15">
        <f t="shared" si="30"/>
        <v>19662</v>
      </c>
      <c r="E45" s="13"/>
      <c r="F45" s="65">
        <v>19662</v>
      </c>
      <c r="G45" s="37"/>
      <c r="H45" s="37"/>
      <c r="I45" s="37"/>
      <c r="J45" s="37"/>
      <c r="K45" s="14">
        <f t="shared" si="26"/>
        <v>30.76260044756383</v>
      </c>
      <c r="L45" s="13"/>
      <c r="M45" s="37">
        <v>30.76</v>
      </c>
      <c r="N45" s="37"/>
      <c r="O45" s="37"/>
      <c r="P45" s="37"/>
      <c r="Q45" s="37"/>
      <c r="R45" s="15">
        <f t="shared" si="31"/>
        <v>604854.25</v>
      </c>
      <c r="S45" s="13"/>
      <c r="T45" s="13">
        <v>604854.25</v>
      </c>
      <c r="U45" s="13"/>
      <c r="V45" s="13"/>
      <c r="W45" s="13"/>
      <c r="X45" s="37"/>
      <c r="Y45" s="67">
        <f t="shared" si="32"/>
        <v>19662</v>
      </c>
      <c r="Z45" s="97"/>
      <c r="AA45" s="97">
        <f>ROUND(AO45/AH45,0)</f>
        <v>19662</v>
      </c>
      <c r="AB45" s="97" t="s">
        <v>34</v>
      </c>
      <c r="AC45" s="97"/>
      <c r="AD45" s="97"/>
      <c r="AE45" s="97"/>
      <c r="AF45" s="14">
        <f t="shared" si="22"/>
        <v>17.379928796663616</v>
      </c>
      <c r="AG45" s="37"/>
      <c r="AH45" s="37">
        <v>17.38</v>
      </c>
      <c r="AI45" s="13"/>
      <c r="AJ45" s="13"/>
      <c r="AK45" s="13"/>
      <c r="AL45" s="37"/>
      <c r="AM45" s="15">
        <f t="shared" si="33"/>
        <v>341724.16000000003</v>
      </c>
      <c r="AN45" s="13"/>
      <c r="AO45" s="13">
        <f>121663.82+220060.34</f>
        <v>341724.16000000003</v>
      </c>
      <c r="AP45" s="13"/>
      <c r="AQ45" s="13"/>
      <c r="AR45" s="13"/>
      <c r="AS45" s="37"/>
      <c r="AT45" s="15">
        <f t="shared" si="34"/>
        <v>263077.56000000006</v>
      </c>
      <c r="AU45" s="37"/>
      <c r="AV45" s="37">
        <f>(M45-AH45)*F45</f>
        <v>263077.56000000006</v>
      </c>
      <c r="AW45" s="37"/>
      <c r="AX45" s="37"/>
      <c r="AY45" s="37"/>
      <c r="AZ45" s="13"/>
    </row>
    <row r="46" spans="1:65" s="91" customFormat="1" ht="27.75" customHeight="1" thickBot="1">
      <c r="A46" s="88"/>
      <c r="B46" s="89" t="s">
        <v>46</v>
      </c>
      <c r="C46" s="89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>
        <f aca="true" t="shared" si="36" ref="R46:X46">R37+R27+R19+R7</f>
        <v>43181596.71</v>
      </c>
      <c r="S46" s="90">
        <f t="shared" si="36"/>
        <v>4018444.96</v>
      </c>
      <c r="T46" s="90">
        <f t="shared" si="36"/>
        <v>16824921.34</v>
      </c>
      <c r="U46" s="90">
        <f t="shared" si="36"/>
        <v>9772279.790000001</v>
      </c>
      <c r="V46" s="90">
        <f t="shared" si="36"/>
        <v>6836107.21</v>
      </c>
      <c r="W46" s="90">
        <f t="shared" si="36"/>
        <v>5275818.49</v>
      </c>
      <c r="X46" s="90">
        <f t="shared" si="36"/>
        <v>454024.9199999999</v>
      </c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>
        <f aca="true" t="shared" si="37" ref="AM46:AZ46">AM37+AM27+AM19+AM7</f>
        <v>24289356.900000002</v>
      </c>
      <c r="AN46" s="90">
        <f t="shared" si="37"/>
        <v>1923977.7</v>
      </c>
      <c r="AO46" s="90">
        <f t="shared" si="37"/>
        <v>11299381.73</v>
      </c>
      <c r="AP46" s="90">
        <f t="shared" si="37"/>
        <v>4750139.15</v>
      </c>
      <c r="AQ46" s="90">
        <f t="shared" si="37"/>
        <v>3347028.2399999998</v>
      </c>
      <c r="AR46" s="90">
        <f t="shared" si="37"/>
        <v>2615019.6100000003</v>
      </c>
      <c r="AS46" s="90">
        <f t="shared" si="37"/>
        <v>353810.47000000003</v>
      </c>
      <c r="AT46" s="90">
        <f t="shared" si="37"/>
        <v>18803349.760337032</v>
      </c>
      <c r="AU46" s="90">
        <f t="shared" si="37"/>
        <v>2057139.7095080002</v>
      </c>
      <c r="AV46" s="90">
        <f t="shared" si="37"/>
        <v>5505386.530481035</v>
      </c>
      <c r="AW46" s="90">
        <f t="shared" si="37"/>
        <v>4987268.633515</v>
      </c>
      <c r="AX46" s="90">
        <f t="shared" si="37"/>
        <v>3486949.492292</v>
      </c>
      <c r="AY46" s="90">
        <f t="shared" si="37"/>
        <v>2666394.640501</v>
      </c>
      <c r="AZ46" s="90">
        <f t="shared" si="37"/>
        <v>100210.75404000004</v>
      </c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</row>
    <row r="47" spans="5:25" ht="25.5" customHeight="1">
      <c r="E47" s="6"/>
      <c r="Y47" s="6"/>
    </row>
    <row r="48" spans="2:57" ht="55.5" customHeight="1">
      <c r="B48" s="208"/>
      <c r="C48" s="208"/>
      <c r="D48" s="208"/>
      <c r="E48" s="208"/>
      <c r="U48" s="208"/>
      <c r="V48" s="208"/>
      <c r="W48" s="94"/>
      <c r="X48" s="94"/>
      <c r="Y48" s="94"/>
      <c r="Z48" s="94"/>
      <c r="AT48" s="213" t="s">
        <v>19</v>
      </c>
      <c r="AU48" s="213"/>
      <c r="AV48" s="213"/>
      <c r="AW48" s="213"/>
      <c r="AY48" s="214" t="s">
        <v>45</v>
      </c>
      <c r="AZ48" s="214"/>
      <c r="BA48" s="208"/>
      <c r="BB48" s="208"/>
      <c r="BC48" s="208"/>
      <c r="BD48" s="208"/>
      <c r="BE48" s="208"/>
    </row>
    <row r="49" spans="5:26" ht="55.5" customHeight="1">
      <c r="E49" s="6"/>
      <c r="Y49" s="6"/>
      <c r="Z49" s="6"/>
    </row>
    <row r="50" spans="5:54" ht="26.25">
      <c r="E50" s="6"/>
      <c r="Y50" s="6"/>
      <c r="Z50" s="6"/>
      <c r="AT50" s="6"/>
      <c r="AV50" s="93"/>
      <c r="BA50" s="6"/>
      <c r="BB50" s="6"/>
    </row>
    <row r="51" spans="5:26" ht="26.25">
      <c r="E51" s="6"/>
      <c r="Y51" s="6"/>
      <c r="Z51" s="6"/>
    </row>
    <row r="52" spans="5:26" ht="26.25">
      <c r="E52" s="6"/>
      <c r="Y52" s="6"/>
      <c r="Z52" s="6"/>
    </row>
    <row r="53" spans="5:26" ht="26.25">
      <c r="E53" s="6"/>
      <c r="Y53" s="6"/>
      <c r="Z53" s="6"/>
    </row>
    <row r="54" spans="5:26" ht="26.25">
      <c r="E54" s="6"/>
      <c r="Y54" s="6"/>
      <c r="Z54" s="6"/>
    </row>
    <row r="55" spans="5:26" ht="26.25">
      <c r="E55" s="6"/>
      <c r="Y55" s="6"/>
      <c r="Z55" s="6"/>
    </row>
    <row r="56" spans="5:26" ht="26.25">
      <c r="E56" s="6"/>
      <c r="Y56" s="6"/>
      <c r="Z56" s="6"/>
    </row>
    <row r="57" spans="5:26" ht="26.25">
      <c r="E57" s="6"/>
      <c r="Y57" s="6"/>
      <c r="Z57" s="6"/>
    </row>
    <row r="58" spans="5:26" ht="26.25">
      <c r="E58" s="6"/>
      <c r="Y58" s="6"/>
      <c r="Z58" s="6"/>
    </row>
    <row r="59" spans="5:26" ht="26.25">
      <c r="E59" s="6"/>
      <c r="Y59" s="6"/>
      <c r="Z59" s="6"/>
    </row>
    <row r="60" spans="5:26" ht="26.25">
      <c r="E60" s="6"/>
      <c r="Y60" s="6"/>
      <c r="Z60" s="6"/>
    </row>
    <row r="61" spans="5:26" ht="26.25">
      <c r="E61" s="6"/>
      <c r="Y61" s="6"/>
      <c r="Z61" s="6"/>
    </row>
    <row r="62" spans="5:26" ht="26.25">
      <c r="E62" s="6"/>
      <c r="Y62" s="6"/>
      <c r="Z62" s="6"/>
    </row>
    <row r="63" spans="5:26" ht="26.25">
      <c r="E63" s="6"/>
      <c r="Y63" s="6"/>
      <c r="Z63" s="6"/>
    </row>
    <row r="64" spans="5:26" ht="26.25">
      <c r="E64" s="6"/>
      <c r="Y64" s="6"/>
      <c r="Z64" s="6"/>
    </row>
    <row r="65" spans="5:26" ht="26.25">
      <c r="E65" s="6"/>
      <c r="Y65" s="6"/>
      <c r="Z65" s="6"/>
    </row>
    <row r="66" spans="5:26" ht="26.25">
      <c r="E66" s="6"/>
      <c r="Y66" s="6"/>
      <c r="Z66" s="6"/>
    </row>
    <row r="67" spans="5:26" ht="26.25">
      <c r="E67" s="6"/>
      <c r="Y67" s="6"/>
      <c r="Z67" s="6"/>
    </row>
    <row r="68" spans="5:26" ht="26.25">
      <c r="E68" s="6"/>
      <c r="Y68" s="6"/>
      <c r="Z68" s="6"/>
    </row>
    <row r="69" spans="5:26" ht="26.25">
      <c r="E69" s="6"/>
      <c r="Y69" s="6"/>
      <c r="Z69" s="6"/>
    </row>
    <row r="70" spans="5:26" ht="26.25">
      <c r="E70" s="6"/>
      <c r="Y70" s="6"/>
      <c r="Z70" s="6"/>
    </row>
    <row r="71" spans="5:26" ht="26.25">
      <c r="E71" s="6"/>
      <c r="Y71" s="6"/>
      <c r="Z71" s="6"/>
    </row>
    <row r="72" spans="5:26" ht="26.25">
      <c r="E72" s="6"/>
      <c r="Y72" s="6"/>
      <c r="Z72" s="6"/>
    </row>
    <row r="73" spans="5:26" ht="26.25">
      <c r="E73" s="6"/>
      <c r="Y73" s="6"/>
      <c r="Z73" s="6"/>
    </row>
    <row r="74" spans="5:26" ht="26.25">
      <c r="E74" s="6"/>
      <c r="Y74" s="6"/>
      <c r="Z74" s="6"/>
    </row>
    <row r="75" spans="5:26" ht="26.25">
      <c r="E75" s="6"/>
      <c r="Y75" s="6"/>
      <c r="Z75" s="6"/>
    </row>
    <row r="76" spans="5:26" ht="26.25">
      <c r="E76" s="6"/>
      <c r="Y76" s="6"/>
      <c r="Z76" s="6"/>
    </row>
    <row r="77" spans="5:26" ht="26.25">
      <c r="E77" s="6"/>
      <c r="Y77" s="6"/>
      <c r="Z77" s="6"/>
    </row>
    <row r="78" spans="5:26" ht="26.25">
      <c r="E78" s="6"/>
      <c r="Y78" s="6"/>
      <c r="Z78" s="6"/>
    </row>
    <row r="79" spans="5:26" ht="26.25">
      <c r="E79" s="6"/>
      <c r="Y79" s="6"/>
      <c r="Z79" s="6"/>
    </row>
    <row r="80" spans="5:26" ht="26.25">
      <c r="E80" s="6"/>
      <c r="Y80" s="6"/>
      <c r="Z80" s="6"/>
    </row>
    <row r="81" spans="5:26" ht="26.25">
      <c r="E81" s="6"/>
      <c r="Y81" s="6"/>
      <c r="Z81" s="6"/>
    </row>
    <row r="82" spans="5:26" ht="26.25">
      <c r="E82" s="6"/>
      <c r="Y82" s="6"/>
      <c r="Z82" s="6"/>
    </row>
    <row r="83" spans="5:26" ht="26.25">
      <c r="E83" s="6"/>
      <c r="Y83" s="6"/>
      <c r="Z83" s="6"/>
    </row>
    <row r="84" spans="5:26" ht="26.25">
      <c r="E84" s="6"/>
      <c r="Y84" s="6"/>
      <c r="Z84" s="6"/>
    </row>
    <row r="85" spans="5:26" ht="26.25">
      <c r="E85" s="6"/>
      <c r="Y85" s="6"/>
      <c r="Z85" s="6"/>
    </row>
    <row r="86" spans="5:26" ht="26.25">
      <c r="E86" s="6"/>
      <c r="Y86" s="6"/>
      <c r="Z86" s="6"/>
    </row>
    <row r="87" spans="5:26" ht="26.25">
      <c r="E87" s="6"/>
      <c r="Y87" s="6"/>
      <c r="Z87" s="6"/>
    </row>
    <row r="88" spans="5:26" ht="26.25">
      <c r="E88" s="6"/>
      <c r="Y88" s="6"/>
      <c r="Z88" s="6"/>
    </row>
    <row r="89" spans="5:26" ht="26.25">
      <c r="E89" s="6"/>
      <c r="Y89" s="6"/>
      <c r="Z89" s="6"/>
    </row>
    <row r="90" spans="25:26" ht="26.25">
      <c r="Y90" s="6"/>
      <c r="Z90" s="6"/>
    </row>
    <row r="91" spans="25:26" ht="26.25">
      <c r="Y91" s="6"/>
      <c r="Z91" s="6"/>
    </row>
    <row r="92" spans="25:26" ht="26.25">
      <c r="Y92" s="6"/>
      <c r="Z92" s="6"/>
    </row>
    <row r="93" spans="25:26" ht="26.25">
      <c r="Y93" s="6"/>
      <c r="Z93" s="6"/>
    </row>
    <row r="94" spans="25:26" ht="26.25">
      <c r="Y94" s="6"/>
      <c r="Z94" s="6"/>
    </row>
    <row r="95" spans="25:26" ht="26.25">
      <c r="Y95" s="6"/>
      <c r="Z95" s="6"/>
    </row>
    <row r="96" spans="25:26" ht="26.25">
      <c r="Y96" s="6"/>
      <c r="Z96" s="6"/>
    </row>
    <row r="97" spans="25:26" ht="26.25">
      <c r="Y97" s="6"/>
      <c r="Z97" s="6"/>
    </row>
    <row r="98" spans="25:26" ht="26.25">
      <c r="Y98" s="6"/>
      <c r="Z98" s="6"/>
    </row>
    <row r="99" spans="25:26" ht="26.25">
      <c r="Y99" s="6"/>
      <c r="Z99" s="6"/>
    </row>
    <row r="100" spans="25:26" ht="26.25">
      <c r="Y100" s="6"/>
      <c r="Z100" s="6"/>
    </row>
    <row r="101" spans="25:26" ht="26.25">
      <c r="Y101" s="6"/>
      <c r="Z101" s="6"/>
    </row>
    <row r="102" spans="25:26" ht="26.25">
      <c r="Y102" s="6"/>
      <c r="Z102" s="6"/>
    </row>
    <row r="103" spans="25:26" ht="26.25">
      <c r="Y103" s="6"/>
      <c r="Z103" s="6"/>
    </row>
    <row r="104" spans="25:26" ht="26.25">
      <c r="Y104" s="6"/>
      <c r="Z104" s="6"/>
    </row>
    <row r="105" spans="25:26" ht="26.25">
      <c r="Y105" s="6"/>
      <c r="Z105" s="6"/>
    </row>
    <row r="106" spans="25:26" ht="26.25">
      <c r="Y106" s="6"/>
      <c r="Z106" s="6"/>
    </row>
    <row r="107" spans="25:26" ht="26.25">
      <c r="Y107" s="6"/>
      <c r="Z107" s="6"/>
    </row>
    <row r="108" spans="25:26" ht="26.25">
      <c r="Y108" s="6"/>
      <c r="Z108" s="6"/>
    </row>
    <row r="109" spans="25:26" ht="26.25">
      <c r="Y109" s="6"/>
      <c r="Z109" s="6"/>
    </row>
    <row r="110" spans="25:26" ht="26.25">
      <c r="Y110" s="6"/>
      <c r="Z110" s="6"/>
    </row>
    <row r="111" spans="25:26" ht="26.25">
      <c r="Y111" s="6"/>
      <c r="Z111" s="6"/>
    </row>
    <row r="112" spans="25:26" ht="26.25">
      <c r="Y112" s="6"/>
      <c r="Z112" s="6"/>
    </row>
    <row r="113" spans="25:26" ht="26.25">
      <c r="Y113" s="6"/>
      <c r="Z113" s="6"/>
    </row>
    <row r="114" spans="25:26" ht="26.25">
      <c r="Y114" s="6"/>
      <c r="Z114" s="6"/>
    </row>
    <row r="115" spans="25:26" ht="26.25">
      <c r="Y115" s="6"/>
      <c r="Z115" s="6"/>
    </row>
    <row r="116" spans="25:26" ht="26.25">
      <c r="Y116" s="6"/>
      <c r="Z116" s="6"/>
    </row>
    <row r="117" spans="25:26" ht="26.25">
      <c r="Y117" s="6"/>
      <c r="Z117" s="6"/>
    </row>
    <row r="118" spans="25:26" ht="26.25">
      <c r="Y118" s="6"/>
      <c r="Z118" s="6"/>
    </row>
    <row r="119" spans="25:26" ht="26.25">
      <c r="Y119" s="6"/>
      <c r="Z119" s="6"/>
    </row>
    <row r="120" spans="25:26" ht="26.25">
      <c r="Y120" s="6"/>
      <c r="Z120" s="6"/>
    </row>
    <row r="121" spans="25:26" ht="26.25">
      <c r="Y121" s="6"/>
      <c r="Z121" s="6"/>
    </row>
    <row r="122" spans="25:26" ht="26.25">
      <c r="Y122" s="6"/>
      <c r="Z122" s="6"/>
    </row>
    <row r="123" spans="25:26" ht="26.25">
      <c r="Y123" s="6"/>
      <c r="Z123" s="6"/>
    </row>
    <row r="124" spans="25:26" ht="26.25">
      <c r="Y124" s="6"/>
      <c r="Z124" s="6"/>
    </row>
    <row r="125" spans="25:26" ht="26.25">
      <c r="Y125" s="6"/>
      <c r="Z125" s="6"/>
    </row>
    <row r="126" spans="25:26" ht="26.25">
      <c r="Y126" s="6"/>
      <c r="Z126" s="6"/>
    </row>
    <row r="127" spans="25:26" ht="26.25">
      <c r="Y127" s="6"/>
      <c r="Z127" s="6"/>
    </row>
    <row r="128" spans="25:26" ht="26.25">
      <c r="Y128" s="6"/>
      <c r="Z128" s="6"/>
    </row>
    <row r="129" spans="25:26" ht="26.25">
      <c r="Y129" s="6"/>
      <c r="Z129" s="6"/>
    </row>
    <row r="130" spans="25:26" ht="26.25">
      <c r="Y130" s="6"/>
      <c r="Z130" s="6"/>
    </row>
    <row r="131" spans="25:26" ht="26.25">
      <c r="Y131" s="6"/>
      <c r="Z131" s="6"/>
    </row>
    <row r="132" spans="25:26" ht="26.25">
      <c r="Y132" s="6"/>
      <c r="Z132" s="6"/>
    </row>
    <row r="133" spans="25:26" ht="26.25">
      <c r="Y133" s="6"/>
      <c r="Z133" s="6"/>
    </row>
    <row r="134" spans="25:26" ht="26.25">
      <c r="Y134" s="6"/>
      <c r="Z134" s="6"/>
    </row>
    <row r="135" spans="25:26" ht="26.25">
      <c r="Y135" s="6"/>
      <c r="Z135" s="6"/>
    </row>
    <row r="136" spans="25:26" ht="26.25">
      <c r="Y136" s="6"/>
      <c r="Z136" s="6"/>
    </row>
    <row r="137" spans="25:26" ht="26.25">
      <c r="Y137" s="6"/>
      <c r="Z137" s="6"/>
    </row>
    <row r="138" spans="25:26" ht="26.25">
      <c r="Y138" s="6"/>
      <c r="Z138" s="6"/>
    </row>
    <row r="139" spans="25:26" ht="26.25">
      <c r="Y139" s="6"/>
      <c r="Z139" s="6"/>
    </row>
    <row r="140" spans="25:26" ht="26.25">
      <c r="Y140" s="6"/>
      <c r="Z140" s="6"/>
    </row>
    <row r="141" spans="25:26" ht="26.25">
      <c r="Y141" s="6"/>
      <c r="Z141" s="6"/>
    </row>
    <row r="142" spans="25:26" ht="26.25">
      <c r="Y142" s="6"/>
      <c r="Z142" s="6"/>
    </row>
    <row r="143" spans="25:26" ht="26.25">
      <c r="Y143" s="6"/>
      <c r="Z143" s="6"/>
    </row>
    <row r="144" spans="25:26" ht="26.25">
      <c r="Y144" s="6"/>
      <c r="Z144" s="6"/>
    </row>
    <row r="145" spans="25:26" ht="26.25">
      <c r="Y145" s="6"/>
      <c r="Z145" s="6"/>
    </row>
    <row r="146" spans="25:26" ht="26.25">
      <c r="Y146" s="6"/>
      <c r="Z146" s="6"/>
    </row>
    <row r="147" spans="25:26" ht="26.25">
      <c r="Y147" s="6"/>
      <c r="Z147" s="6"/>
    </row>
    <row r="148" spans="25:26" ht="26.25">
      <c r="Y148" s="6"/>
      <c r="Z148" s="6"/>
    </row>
    <row r="149" spans="25:26" ht="26.25">
      <c r="Y149" s="6"/>
      <c r="Z149" s="6"/>
    </row>
    <row r="150" spans="25:26" ht="26.25">
      <c r="Y150" s="6"/>
      <c r="Z150" s="6"/>
    </row>
    <row r="151" spans="25:26" ht="26.25">
      <c r="Y151" s="6"/>
      <c r="Z151" s="6"/>
    </row>
    <row r="152" spans="25:26" ht="26.25">
      <c r="Y152" s="6"/>
      <c r="Z152" s="6"/>
    </row>
    <row r="153" spans="25:26" ht="26.25">
      <c r="Y153" s="6"/>
      <c r="Z153" s="6"/>
    </row>
    <row r="154" spans="25:26" ht="26.25">
      <c r="Y154" s="6"/>
      <c r="Z154" s="6"/>
    </row>
    <row r="155" spans="25:26" ht="26.25">
      <c r="Y155" s="6"/>
      <c r="Z155" s="6"/>
    </row>
    <row r="156" spans="25:26" ht="26.25">
      <c r="Y156" s="6"/>
      <c r="Z156" s="6"/>
    </row>
    <row r="157" spans="25:26" ht="26.25">
      <c r="Y157" s="6"/>
      <c r="Z157" s="6"/>
    </row>
    <row r="158" spans="25:26" ht="26.25">
      <c r="Y158" s="6"/>
      <c r="Z158" s="6"/>
    </row>
    <row r="159" spans="25:26" ht="26.25">
      <c r="Y159" s="6"/>
      <c r="Z159" s="6"/>
    </row>
    <row r="160" spans="25:26" ht="26.25">
      <c r="Y160" s="6"/>
      <c r="Z160" s="6"/>
    </row>
    <row r="161" spans="25:26" ht="26.25">
      <c r="Y161" s="6"/>
      <c r="Z161" s="6"/>
    </row>
    <row r="162" spans="25:26" ht="26.25">
      <c r="Y162" s="6"/>
      <c r="Z162" s="6"/>
    </row>
    <row r="163" spans="25:26" ht="26.25">
      <c r="Y163" s="6"/>
      <c r="Z163" s="6"/>
    </row>
    <row r="164" spans="25:26" ht="26.25">
      <c r="Y164" s="6"/>
      <c r="Z164" s="6"/>
    </row>
    <row r="165" spans="25:26" ht="26.25">
      <c r="Y165" s="6"/>
      <c r="Z165" s="6"/>
    </row>
    <row r="166" spans="25:26" ht="26.25">
      <c r="Y166" s="6"/>
      <c r="Z166" s="6"/>
    </row>
    <row r="167" spans="25:26" ht="26.25">
      <c r="Y167" s="6"/>
      <c r="Z167" s="6"/>
    </row>
    <row r="168" spans="25:26" ht="26.25">
      <c r="Y168" s="6"/>
      <c r="Z168" s="6"/>
    </row>
    <row r="169" spans="25:26" ht="26.25">
      <c r="Y169" s="6"/>
      <c r="Z169" s="6"/>
    </row>
    <row r="170" spans="25:26" ht="26.25">
      <c r="Y170" s="6"/>
      <c r="Z170" s="6"/>
    </row>
    <row r="171" spans="25:26" ht="26.25">
      <c r="Y171" s="6"/>
      <c r="Z171" s="6"/>
    </row>
    <row r="172" spans="25:26" ht="26.25">
      <c r="Y172" s="6"/>
      <c r="Z172" s="6"/>
    </row>
    <row r="173" spans="25:26" ht="26.25">
      <c r="Y173" s="6"/>
      <c r="Z173" s="6"/>
    </row>
    <row r="174" spans="25:26" ht="26.25">
      <c r="Y174" s="6"/>
      <c r="Z174" s="6"/>
    </row>
    <row r="175" spans="25:26" ht="26.25">
      <c r="Y175" s="6"/>
      <c r="Z175" s="6"/>
    </row>
    <row r="176" spans="25:26" ht="26.25">
      <c r="Y176" s="6"/>
      <c r="Z176" s="6"/>
    </row>
    <row r="177" spans="25:26" ht="26.25">
      <c r="Y177" s="6"/>
      <c r="Z177" s="6"/>
    </row>
    <row r="178" spans="25:26" ht="26.25">
      <c r="Y178" s="6"/>
      <c r="Z178" s="6"/>
    </row>
    <row r="179" spans="25:26" ht="26.25">
      <c r="Y179" s="6"/>
      <c r="Z179" s="6"/>
    </row>
    <row r="180" spans="25:26" ht="26.25">
      <c r="Y180" s="6"/>
      <c r="Z180" s="6"/>
    </row>
    <row r="181" spans="25:26" ht="26.25">
      <c r="Y181" s="6"/>
      <c r="Z181" s="6"/>
    </row>
    <row r="182" spans="25:26" ht="26.25">
      <c r="Y182" s="6"/>
      <c r="Z182" s="6"/>
    </row>
    <row r="183" spans="25:26" ht="26.25">
      <c r="Y183" s="6"/>
      <c r="Z183" s="6"/>
    </row>
    <row r="184" spans="25:26" ht="26.25">
      <c r="Y184" s="6"/>
      <c r="Z184" s="6"/>
    </row>
    <row r="185" spans="25:26" ht="26.25">
      <c r="Y185" s="6"/>
      <c r="Z185" s="6"/>
    </row>
    <row r="186" spans="25:26" ht="26.25">
      <c r="Y186" s="6"/>
      <c r="Z186" s="6"/>
    </row>
    <row r="187" spans="25:26" ht="26.25">
      <c r="Y187" s="6"/>
      <c r="Z187" s="6"/>
    </row>
    <row r="188" spans="25:26" ht="26.25">
      <c r="Y188" s="6"/>
      <c r="Z188" s="6"/>
    </row>
    <row r="189" spans="25:26" ht="26.25">
      <c r="Y189" s="6"/>
      <c r="Z189" s="6"/>
    </row>
    <row r="190" spans="25:26" ht="26.25">
      <c r="Y190" s="6"/>
      <c r="Z190" s="6"/>
    </row>
    <row r="191" spans="25:26" ht="26.25">
      <c r="Y191" s="6"/>
      <c r="Z191" s="6"/>
    </row>
    <row r="192" spans="25:26" ht="26.25">
      <c r="Y192" s="6"/>
      <c r="Z192" s="6"/>
    </row>
    <row r="193" spans="25:26" ht="26.25">
      <c r="Y193" s="6"/>
      <c r="Z193" s="6"/>
    </row>
    <row r="194" spans="25:26" ht="26.25">
      <c r="Y194" s="6"/>
      <c r="Z194" s="6"/>
    </row>
    <row r="195" spans="25:26" ht="26.25">
      <c r="Y195" s="6"/>
      <c r="Z195" s="6"/>
    </row>
    <row r="196" spans="25:26" ht="26.25">
      <c r="Y196" s="6"/>
      <c r="Z196" s="6"/>
    </row>
    <row r="197" spans="25:26" ht="26.25">
      <c r="Y197" s="6"/>
      <c r="Z197" s="6"/>
    </row>
    <row r="198" spans="25:26" ht="26.25">
      <c r="Y198" s="6"/>
      <c r="Z198" s="6"/>
    </row>
    <row r="199" spans="25:26" ht="26.25">
      <c r="Y199" s="6"/>
      <c r="Z199" s="6"/>
    </row>
    <row r="200" spans="25:26" ht="26.25">
      <c r="Y200" s="6"/>
      <c r="Z200" s="6"/>
    </row>
    <row r="201" spans="25:26" ht="26.25">
      <c r="Y201" s="6"/>
      <c r="Z201" s="6"/>
    </row>
    <row r="202" spans="25:26" ht="26.25">
      <c r="Y202" s="6"/>
      <c r="Z202" s="6"/>
    </row>
    <row r="203" spans="25:26" ht="26.25">
      <c r="Y203" s="6"/>
      <c r="Z203" s="6"/>
    </row>
    <row r="204" spans="25:26" ht="26.25">
      <c r="Y204" s="6"/>
      <c r="Z204" s="6"/>
    </row>
    <row r="205" spans="25:26" ht="26.25">
      <c r="Y205" s="6"/>
      <c r="Z205" s="6"/>
    </row>
    <row r="206" spans="25:26" ht="26.25">
      <c r="Y206" s="6"/>
      <c r="Z206" s="6"/>
    </row>
    <row r="207" spans="25:26" ht="26.25">
      <c r="Y207" s="6"/>
      <c r="Z207" s="6"/>
    </row>
    <row r="208" spans="25:26" ht="26.25">
      <c r="Y208" s="6"/>
      <c r="Z208" s="6"/>
    </row>
    <row r="209" spans="25:26" ht="26.25">
      <c r="Y209" s="6"/>
      <c r="Z209" s="6"/>
    </row>
    <row r="210" spans="25:26" ht="26.25">
      <c r="Y210" s="6"/>
      <c r="Z210" s="6"/>
    </row>
    <row r="211" spans="25:26" ht="26.25">
      <c r="Y211" s="6"/>
      <c r="Z211" s="6"/>
    </row>
    <row r="212" spans="25:26" ht="26.25">
      <c r="Y212" s="6"/>
      <c r="Z212" s="6"/>
    </row>
    <row r="213" spans="25:26" ht="26.25">
      <c r="Y213" s="6"/>
      <c r="Z213" s="6"/>
    </row>
    <row r="214" spans="25:26" ht="26.25">
      <c r="Y214" s="6"/>
      <c r="Z214" s="6"/>
    </row>
    <row r="215" spans="25:26" ht="26.25">
      <c r="Y215" s="6"/>
      <c r="Z215" s="6"/>
    </row>
    <row r="216" spans="25:26" ht="26.25">
      <c r="Y216" s="6"/>
      <c r="Z216" s="6"/>
    </row>
    <row r="217" spans="25:26" ht="26.25">
      <c r="Y217" s="6"/>
      <c r="Z217" s="6"/>
    </row>
    <row r="218" spans="25:26" ht="26.25">
      <c r="Y218" s="6"/>
      <c r="Z218" s="6"/>
    </row>
    <row r="219" spans="25:26" ht="26.25">
      <c r="Y219" s="6"/>
      <c r="Z219" s="6"/>
    </row>
    <row r="220" spans="25:26" ht="26.25">
      <c r="Y220" s="6"/>
      <c r="Z220" s="6"/>
    </row>
    <row r="221" spans="25:26" ht="26.25">
      <c r="Y221" s="6"/>
      <c r="Z221" s="6"/>
    </row>
    <row r="222" spans="25:26" ht="26.25">
      <c r="Y222" s="6"/>
      <c r="Z222" s="6"/>
    </row>
    <row r="223" spans="25:26" ht="26.25">
      <c r="Y223" s="6"/>
      <c r="Z223" s="6"/>
    </row>
    <row r="224" spans="25:26" ht="26.25">
      <c r="Y224" s="6"/>
      <c r="Z224" s="6"/>
    </row>
    <row r="225" spans="25:26" ht="26.25">
      <c r="Y225" s="6"/>
      <c r="Z225" s="6"/>
    </row>
    <row r="226" spans="25:26" ht="26.25">
      <c r="Y226" s="6"/>
      <c r="Z226" s="6"/>
    </row>
    <row r="227" spans="25:26" ht="26.25">
      <c r="Y227" s="6"/>
      <c r="Z227" s="6"/>
    </row>
    <row r="228" spans="25:26" ht="26.25">
      <c r="Y228" s="6"/>
      <c r="Z228" s="6"/>
    </row>
    <row r="229" spans="25:26" ht="26.25">
      <c r="Y229" s="6"/>
      <c r="Z229" s="6"/>
    </row>
    <row r="230" spans="25:26" ht="26.25">
      <c r="Y230" s="6"/>
      <c r="Z230" s="6"/>
    </row>
    <row r="231" spans="25:26" ht="26.25">
      <c r="Y231" s="6"/>
      <c r="Z231" s="6"/>
    </row>
    <row r="232" spans="25:26" ht="26.25">
      <c r="Y232" s="6"/>
      <c r="Z232" s="6"/>
    </row>
    <row r="233" spans="25:26" ht="26.25">
      <c r="Y233" s="6"/>
      <c r="Z233" s="6"/>
    </row>
    <row r="234" spans="25:26" ht="26.25">
      <c r="Y234" s="6"/>
      <c r="Z234" s="6"/>
    </row>
    <row r="235" spans="25:26" ht="26.25">
      <c r="Y235" s="6"/>
      <c r="Z235" s="6"/>
    </row>
    <row r="236" spans="25:26" ht="26.25">
      <c r="Y236" s="6"/>
      <c r="Z236" s="6"/>
    </row>
    <row r="237" spans="25:26" ht="26.25">
      <c r="Y237" s="6"/>
      <c r="Z237" s="6"/>
    </row>
    <row r="238" spans="25:26" ht="26.25">
      <c r="Y238" s="6"/>
      <c r="Z238" s="6"/>
    </row>
    <row r="239" spans="25:26" ht="26.25">
      <c r="Y239" s="6"/>
      <c r="Z239" s="6"/>
    </row>
    <row r="240" spans="25:26" ht="26.25">
      <c r="Y240" s="6"/>
      <c r="Z240" s="6"/>
    </row>
    <row r="241" spans="25:26" ht="26.25">
      <c r="Y241" s="6"/>
      <c r="Z241" s="6"/>
    </row>
    <row r="242" spans="25:26" ht="26.25">
      <c r="Y242" s="6"/>
      <c r="Z242" s="6"/>
    </row>
    <row r="243" spans="25:26" ht="26.25">
      <c r="Y243" s="6"/>
      <c r="Z243" s="6"/>
    </row>
    <row r="244" spans="25:26" ht="26.25">
      <c r="Y244" s="6"/>
      <c r="Z244" s="6"/>
    </row>
    <row r="245" spans="25:26" ht="26.25">
      <c r="Y245" s="6"/>
      <c r="Z245" s="6"/>
    </row>
    <row r="246" spans="25:26" ht="26.25">
      <c r="Y246" s="6"/>
      <c r="Z246" s="6"/>
    </row>
    <row r="247" spans="25:26" ht="26.25">
      <c r="Y247" s="6"/>
      <c r="Z247" s="6"/>
    </row>
    <row r="248" spans="25:26" ht="26.25">
      <c r="Y248" s="6"/>
      <c r="Z248" s="6"/>
    </row>
    <row r="249" spans="25:26" ht="26.25">
      <c r="Y249" s="6"/>
      <c r="Z249" s="6"/>
    </row>
    <row r="250" spans="25:26" ht="26.25">
      <c r="Y250" s="6"/>
      <c r="Z250" s="6"/>
    </row>
    <row r="251" spans="25:26" ht="26.25">
      <c r="Y251" s="6"/>
      <c r="Z251" s="6"/>
    </row>
    <row r="252" spans="25:26" ht="26.25">
      <c r="Y252" s="6"/>
      <c r="Z252" s="6"/>
    </row>
    <row r="253" spans="25:26" ht="26.25">
      <c r="Y253" s="6"/>
      <c r="Z253" s="6"/>
    </row>
    <row r="254" spans="25:26" ht="26.25">
      <c r="Y254" s="6"/>
      <c r="Z254" s="6"/>
    </row>
    <row r="255" spans="25:26" ht="26.25">
      <c r="Y255" s="6"/>
      <c r="Z255" s="6"/>
    </row>
    <row r="256" spans="25:26" ht="26.25">
      <c r="Y256" s="6"/>
      <c r="Z256" s="6"/>
    </row>
    <row r="257" spans="25:26" ht="26.25">
      <c r="Y257" s="6"/>
      <c r="Z257" s="6"/>
    </row>
    <row r="258" spans="25:26" ht="26.25">
      <c r="Y258" s="6"/>
      <c r="Z258" s="6"/>
    </row>
    <row r="259" spans="25:26" ht="26.25">
      <c r="Y259" s="6"/>
      <c r="Z259" s="6"/>
    </row>
    <row r="260" spans="25:26" ht="26.25">
      <c r="Y260" s="6"/>
      <c r="Z260" s="6"/>
    </row>
    <row r="261" spans="25:26" ht="26.25">
      <c r="Y261" s="6"/>
      <c r="Z261" s="6"/>
    </row>
    <row r="262" spans="25:26" ht="26.25">
      <c r="Y262" s="6"/>
      <c r="Z262" s="6"/>
    </row>
    <row r="263" spans="25:26" ht="26.25">
      <c r="Y263" s="6"/>
      <c r="Z263" s="6"/>
    </row>
    <row r="264" spans="25:26" ht="26.25">
      <c r="Y264" s="6"/>
      <c r="Z264" s="6"/>
    </row>
    <row r="265" spans="25:26" ht="26.25">
      <c r="Y265" s="6"/>
      <c r="Z265" s="6"/>
    </row>
    <row r="266" spans="25:26" ht="26.25">
      <c r="Y266" s="6"/>
      <c r="Z266" s="6"/>
    </row>
    <row r="267" spans="25:26" ht="26.25">
      <c r="Y267" s="6"/>
      <c r="Z267" s="6"/>
    </row>
    <row r="268" spans="25:26" ht="26.25">
      <c r="Y268" s="6"/>
      <c r="Z268" s="6"/>
    </row>
    <row r="269" spans="25:26" ht="26.25">
      <c r="Y269" s="6"/>
      <c r="Z269" s="6"/>
    </row>
    <row r="270" spans="25:26" ht="26.25">
      <c r="Y270" s="6"/>
      <c r="Z270" s="6"/>
    </row>
    <row r="271" spans="25:26" ht="26.25">
      <c r="Y271" s="6"/>
      <c r="Z271" s="6"/>
    </row>
    <row r="272" spans="25:26" ht="26.25">
      <c r="Y272" s="6"/>
      <c r="Z272" s="6"/>
    </row>
    <row r="273" spans="25:26" ht="26.25">
      <c r="Y273" s="6"/>
      <c r="Z273" s="6"/>
    </row>
    <row r="274" spans="25:26" ht="26.25">
      <c r="Y274" s="6"/>
      <c r="Z274" s="6"/>
    </row>
    <row r="275" spans="25:26" ht="26.25">
      <c r="Y275" s="6"/>
      <c r="Z275" s="6"/>
    </row>
    <row r="276" spans="25:26" ht="26.25">
      <c r="Y276" s="6"/>
      <c r="Z276" s="6"/>
    </row>
    <row r="277" spans="25:26" ht="26.25">
      <c r="Y277" s="6"/>
      <c r="Z277" s="6"/>
    </row>
    <row r="278" spans="25:26" ht="26.25">
      <c r="Y278" s="6"/>
      <c r="Z278" s="6"/>
    </row>
    <row r="279" spans="25:26" ht="26.25">
      <c r="Y279" s="6"/>
      <c r="Z279" s="6"/>
    </row>
    <row r="280" spans="25:26" ht="26.25">
      <c r="Y280" s="6"/>
      <c r="Z280" s="6"/>
    </row>
    <row r="281" spans="25:26" ht="26.25">
      <c r="Y281" s="6"/>
      <c r="Z281" s="6"/>
    </row>
    <row r="282" spans="25:26" ht="26.25">
      <c r="Y282" s="6"/>
      <c r="Z282" s="6"/>
    </row>
    <row r="283" spans="25:26" ht="26.25">
      <c r="Y283" s="6"/>
      <c r="Z283" s="6"/>
    </row>
    <row r="284" spans="25:26" ht="26.25">
      <c r="Y284" s="6"/>
      <c r="Z284" s="6"/>
    </row>
    <row r="285" spans="25:26" ht="26.25">
      <c r="Y285" s="6"/>
      <c r="Z285" s="6"/>
    </row>
    <row r="286" spans="25:26" ht="26.25">
      <c r="Y286" s="6"/>
      <c r="Z286" s="6"/>
    </row>
    <row r="287" spans="25:26" ht="26.25">
      <c r="Y287" s="6"/>
      <c r="Z287" s="6"/>
    </row>
    <row r="288" spans="25:26" ht="26.25">
      <c r="Y288" s="6"/>
      <c r="Z288" s="6"/>
    </row>
    <row r="289" spans="25:26" ht="26.25">
      <c r="Y289" s="6"/>
      <c r="Z289" s="6"/>
    </row>
    <row r="290" spans="25:26" ht="26.25">
      <c r="Y290" s="6"/>
      <c r="Z290" s="6"/>
    </row>
    <row r="291" spans="25:26" ht="26.25">
      <c r="Y291" s="6"/>
      <c r="Z291" s="6"/>
    </row>
    <row r="292" spans="25:26" ht="26.25">
      <c r="Y292" s="6"/>
      <c r="Z292" s="6"/>
    </row>
    <row r="293" spans="25:26" ht="26.25">
      <c r="Y293" s="6"/>
      <c r="Z293" s="6"/>
    </row>
    <row r="294" spans="25:26" ht="26.25">
      <c r="Y294" s="6"/>
      <c r="Z294" s="6"/>
    </row>
    <row r="295" spans="25:26" ht="26.25">
      <c r="Y295" s="6"/>
      <c r="Z295" s="6"/>
    </row>
    <row r="296" spans="25:26" ht="26.25">
      <c r="Y296" s="6"/>
      <c r="Z296" s="6"/>
    </row>
    <row r="297" spans="25:26" ht="26.25">
      <c r="Y297" s="6"/>
      <c r="Z297" s="6"/>
    </row>
    <row r="298" spans="25:26" ht="26.25">
      <c r="Y298" s="6"/>
      <c r="Z298" s="6"/>
    </row>
    <row r="299" spans="25:26" ht="26.25">
      <c r="Y299" s="6"/>
      <c r="Z299" s="6"/>
    </row>
    <row r="300" spans="25:26" ht="26.25">
      <c r="Y300" s="6"/>
      <c r="Z300" s="6"/>
    </row>
    <row r="301" spans="25:26" ht="26.25">
      <c r="Y301" s="6"/>
      <c r="Z301" s="6"/>
    </row>
    <row r="302" spans="25:26" ht="26.25">
      <c r="Y302" s="6"/>
      <c r="Z302" s="6"/>
    </row>
    <row r="303" spans="25:26" ht="26.25">
      <c r="Y303" s="6"/>
      <c r="Z303" s="6"/>
    </row>
    <row r="304" spans="25:26" ht="26.25">
      <c r="Y304" s="6"/>
      <c r="Z304" s="6"/>
    </row>
    <row r="305" spans="25:26" ht="26.25">
      <c r="Y305" s="6"/>
      <c r="Z305" s="6"/>
    </row>
    <row r="306" spans="25:26" ht="26.25">
      <c r="Y306" s="6"/>
      <c r="Z306" s="6"/>
    </row>
    <row r="307" spans="25:26" ht="26.25">
      <c r="Y307" s="6"/>
      <c r="Z307" s="6"/>
    </row>
    <row r="308" spans="25:26" ht="26.25">
      <c r="Y308" s="6"/>
      <c r="Z308" s="6"/>
    </row>
    <row r="309" spans="25:26" ht="26.25">
      <c r="Y309" s="6"/>
      <c r="Z309" s="6"/>
    </row>
    <row r="310" spans="25:26" ht="26.25">
      <c r="Y310" s="6"/>
      <c r="Z310" s="6"/>
    </row>
    <row r="311" spans="25:26" ht="26.25">
      <c r="Y311" s="6"/>
      <c r="Z311" s="6"/>
    </row>
    <row r="312" spans="25:26" ht="26.25">
      <c r="Y312" s="6"/>
      <c r="Z312" s="6"/>
    </row>
    <row r="313" spans="25:26" ht="26.25">
      <c r="Y313" s="6"/>
      <c r="Z313" s="6"/>
    </row>
    <row r="314" spans="25:26" ht="26.25">
      <c r="Y314" s="6"/>
      <c r="Z314" s="6"/>
    </row>
    <row r="315" spans="25:26" ht="26.25">
      <c r="Y315" s="6"/>
      <c r="Z315" s="6"/>
    </row>
    <row r="316" spans="25:26" ht="26.25">
      <c r="Y316" s="6"/>
      <c r="Z316" s="6"/>
    </row>
    <row r="317" spans="25:26" ht="26.25">
      <c r="Y317" s="6"/>
      <c r="Z317" s="6"/>
    </row>
    <row r="318" spans="25:26" ht="26.25">
      <c r="Y318" s="6"/>
      <c r="Z318" s="6"/>
    </row>
    <row r="319" spans="25:26" ht="26.25">
      <c r="Y319" s="6"/>
      <c r="Z319" s="6"/>
    </row>
    <row r="320" spans="25:26" ht="26.25">
      <c r="Y320" s="6"/>
      <c r="Z320" s="6"/>
    </row>
    <row r="321" spans="25:26" ht="26.25">
      <c r="Y321" s="6"/>
      <c r="Z321" s="6"/>
    </row>
    <row r="322" spans="25:26" ht="26.25">
      <c r="Y322" s="6"/>
      <c r="Z322" s="6"/>
    </row>
    <row r="323" spans="25:26" ht="26.25">
      <c r="Y323" s="6"/>
      <c r="Z323" s="6"/>
    </row>
    <row r="324" spans="25:26" ht="26.25">
      <c r="Y324" s="6"/>
      <c r="Z324" s="6"/>
    </row>
    <row r="325" spans="25:26" ht="26.25">
      <c r="Y325" s="6"/>
      <c r="Z325" s="6"/>
    </row>
    <row r="326" spans="25:26" ht="26.25">
      <c r="Y326" s="6"/>
      <c r="Z326" s="6"/>
    </row>
    <row r="327" spans="25:26" ht="26.25">
      <c r="Y327" s="6"/>
      <c r="Z327" s="6"/>
    </row>
    <row r="328" spans="25:26" ht="26.25">
      <c r="Y328" s="6"/>
      <c r="Z328" s="6"/>
    </row>
    <row r="329" spans="25:26" ht="26.25">
      <c r="Y329" s="6"/>
      <c r="Z329" s="6"/>
    </row>
    <row r="330" spans="25:26" ht="26.25">
      <c r="Y330" s="6"/>
      <c r="Z330" s="6"/>
    </row>
    <row r="331" spans="25:26" ht="26.25">
      <c r="Y331" s="6"/>
      <c r="Z331" s="6"/>
    </row>
    <row r="332" spans="25:26" ht="26.25">
      <c r="Y332" s="6"/>
      <c r="Z332" s="6"/>
    </row>
    <row r="333" spans="25:26" ht="26.25">
      <c r="Y333" s="6"/>
      <c r="Z333" s="6"/>
    </row>
    <row r="334" spans="25:26" ht="26.25">
      <c r="Y334" s="6"/>
      <c r="Z334" s="6"/>
    </row>
    <row r="335" spans="25:26" ht="26.25">
      <c r="Y335" s="6"/>
      <c r="Z335" s="6"/>
    </row>
    <row r="336" spans="25:26" ht="26.25">
      <c r="Y336" s="6"/>
      <c r="Z336" s="6"/>
    </row>
    <row r="337" spans="25:26" ht="26.25">
      <c r="Y337" s="6"/>
      <c r="Z337" s="6"/>
    </row>
    <row r="338" spans="25:26" ht="26.25">
      <c r="Y338" s="6"/>
      <c r="Z338" s="6"/>
    </row>
    <row r="339" spans="25:26" ht="26.25">
      <c r="Y339" s="6"/>
      <c r="Z339" s="6"/>
    </row>
    <row r="340" spans="25:26" ht="26.25">
      <c r="Y340" s="6"/>
      <c r="Z340" s="6"/>
    </row>
    <row r="341" spans="25:26" ht="26.25">
      <c r="Y341" s="6"/>
      <c r="Z341" s="6"/>
    </row>
    <row r="342" spans="25:26" ht="26.25">
      <c r="Y342" s="6"/>
      <c r="Z342" s="6"/>
    </row>
    <row r="343" spans="25:26" ht="26.25">
      <c r="Y343" s="6"/>
      <c r="Z343" s="6"/>
    </row>
    <row r="344" spans="25:26" ht="26.25">
      <c r="Y344" s="6"/>
      <c r="Z344" s="6"/>
    </row>
    <row r="345" spans="25:26" ht="26.25">
      <c r="Y345" s="6"/>
      <c r="Z345" s="6"/>
    </row>
    <row r="346" spans="25:26" ht="26.25">
      <c r="Y346" s="6"/>
      <c r="Z346" s="6"/>
    </row>
    <row r="347" spans="25:26" ht="26.25">
      <c r="Y347" s="6"/>
      <c r="Z347" s="6"/>
    </row>
    <row r="348" spans="25:26" ht="26.25">
      <c r="Y348" s="6"/>
      <c r="Z348" s="6"/>
    </row>
    <row r="349" spans="25:26" ht="26.25">
      <c r="Y349" s="6"/>
      <c r="Z349" s="6"/>
    </row>
    <row r="350" spans="25:26" ht="26.25">
      <c r="Y350" s="6"/>
      <c r="Z350" s="6"/>
    </row>
    <row r="351" spans="25:26" ht="26.25">
      <c r="Y351" s="6"/>
      <c r="Z351" s="6"/>
    </row>
    <row r="352" spans="25:26" ht="26.25">
      <c r="Y352" s="6"/>
      <c r="Z352" s="6"/>
    </row>
    <row r="353" spans="25:26" ht="26.25">
      <c r="Y353" s="6"/>
      <c r="Z353" s="6"/>
    </row>
    <row r="354" spans="25:26" ht="26.25">
      <c r="Y354" s="6"/>
      <c r="Z354" s="6"/>
    </row>
    <row r="355" spans="25:26" ht="26.25">
      <c r="Y355" s="6"/>
      <c r="Z355" s="6"/>
    </row>
    <row r="356" spans="25:26" ht="26.25">
      <c r="Y356" s="6"/>
      <c r="Z356" s="6"/>
    </row>
    <row r="357" spans="25:26" ht="26.25">
      <c r="Y357" s="6"/>
      <c r="Z357" s="6"/>
    </row>
    <row r="358" spans="25:26" ht="26.25">
      <c r="Y358" s="6"/>
      <c r="Z358" s="6"/>
    </row>
    <row r="359" spans="25:26" ht="26.25">
      <c r="Y359" s="6"/>
      <c r="Z359" s="6"/>
    </row>
    <row r="360" spans="25:26" ht="26.25">
      <c r="Y360" s="6"/>
      <c r="Z360" s="6"/>
    </row>
    <row r="361" spans="25:26" ht="26.25">
      <c r="Y361" s="6"/>
      <c r="Z361" s="6"/>
    </row>
    <row r="362" spans="25:26" ht="26.25">
      <c r="Y362" s="6"/>
      <c r="Z362" s="6"/>
    </row>
    <row r="363" spans="25:26" ht="26.25">
      <c r="Y363" s="6"/>
      <c r="Z363" s="6"/>
    </row>
    <row r="364" spans="25:26" ht="26.25">
      <c r="Y364" s="6"/>
      <c r="Z364" s="6"/>
    </row>
    <row r="365" spans="25:26" ht="26.25">
      <c r="Y365" s="6"/>
      <c r="Z365" s="6"/>
    </row>
    <row r="366" spans="25:26" ht="26.25">
      <c r="Y366" s="6"/>
      <c r="Z366" s="6"/>
    </row>
    <row r="367" spans="25:26" ht="26.25">
      <c r="Y367" s="6"/>
      <c r="Z367" s="6"/>
    </row>
    <row r="368" spans="25:26" ht="26.25">
      <c r="Y368" s="6"/>
      <c r="Z368" s="6"/>
    </row>
    <row r="369" spans="25:26" ht="26.25">
      <c r="Y369" s="6"/>
      <c r="Z369" s="6"/>
    </row>
    <row r="370" spans="25:26" ht="26.25">
      <c r="Y370" s="6"/>
      <c r="Z370" s="6"/>
    </row>
    <row r="371" spans="25:26" ht="26.25">
      <c r="Y371" s="6"/>
      <c r="Z371" s="6"/>
    </row>
    <row r="372" spans="25:26" ht="26.25">
      <c r="Y372" s="6"/>
      <c r="Z372" s="6"/>
    </row>
    <row r="373" spans="25:26" ht="26.25">
      <c r="Y373" s="6"/>
      <c r="Z373" s="6"/>
    </row>
    <row r="374" spans="25:26" ht="26.25">
      <c r="Y374" s="6"/>
      <c r="Z374" s="6"/>
    </row>
    <row r="375" spans="25:26" ht="26.25">
      <c r="Y375" s="6"/>
      <c r="Z375" s="6"/>
    </row>
    <row r="376" spans="25:26" ht="26.25">
      <c r="Y376" s="6"/>
      <c r="Z376" s="6"/>
    </row>
    <row r="377" spans="25:26" ht="26.25">
      <c r="Y377" s="6"/>
      <c r="Z377" s="6"/>
    </row>
    <row r="378" spans="25:26" ht="26.25">
      <c r="Y378" s="6"/>
      <c r="Z378" s="6"/>
    </row>
    <row r="379" spans="25:26" ht="26.25">
      <c r="Y379" s="6"/>
      <c r="Z379" s="6"/>
    </row>
    <row r="380" spans="25:26" ht="26.25">
      <c r="Y380" s="6"/>
      <c r="Z380" s="6"/>
    </row>
    <row r="381" spans="25:26" ht="26.25">
      <c r="Y381" s="6"/>
      <c r="Z381" s="6"/>
    </row>
    <row r="382" spans="25:26" ht="26.25">
      <c r="Y382" s="6"/>
      <c r="Z382" s="6"/>
    </row>
    <row r="383" spans="25:26" ht="26.25">
      <c r="Y383" s="6"/>
      <c r="Z383" s="6"/>
    </row>
    <row r="384" spans="25:26" ht="26.25">
      <c r="Y384" s="6"/>
      <c r="Z384" s="6"/>
    </row>
    <row r="385" spans="25:26" ht="26.25">
      <c r="Y385" s="6"/>
      <c r="Z385" s="6"/>
    </row>
    <row r="386" spans="25:26" ht="26.25">
      <c r="Y386" s="6"/>
      <c r="Z386" s="6"/>
    </row>
    <row r="387" spans="25:26" ht="26.25">
      <c r="Y387" s="6"/>
      <c r="Z387" s="6"/>
    </row>
    <row r="388" spans="25:26" ht="26.25">
      <c r="Y388" s="6"/>
      <c r="Z388" s="6"/>
    </row>
    <row r="389" spans="25:26" ht="26.25">
      <c r="Y389" s="6"/>
      <c r="Z389" s="6"/>
    </row>
    <row r="390" spans="25:26" ht="26.25">
      <c r="Y390" s="6"/>
      <c r="Z390" s="6"/>
    </row>
    <row r="391" spans="25:26" ht="26.25">
      <c r="Y391" s="6"/>
      <c r="Z391" s="6"/>
    </row>
    <row r="392" spans="25:26" ht="26.25">
      <c r="Y392" s="6"/>
      <c r="Z392" s="6"/>
    </row>
    <row r="393" spans="25:26" ht="26.25">
      <c r="Y393" s="6"/>
      <c r="Z393" s="6"/>
    </row>
    <row r="394" spans="25:26" ht="26.25">
      <c r="Y394" s="6"/>
      <c r="Z394" s="6"/>
    </row>
    <row r="395" spans="25:26" ht="26.25">
      <c r="Y395" s="6"/>
      <c r="Z395" s="6"/>
    </row>
    <row r="396" spans="25:26" ht="26.25">
      <c r="Y396" s="6"/>
      <c r="Z396" s="6"/>
    </row>
    <row r="397" spans="25:26" ht="26.25">
      <c r="Y397" s="6"/>
      <c r="Z397" s="6"/>
    </row>
    <row r="398" spans="25:26" ht="26.25">
      <c r="Y398" s="6"/>
      <c r="Z398" s="6"/>
    </row>
    <row r="399" spans="25:26" ht="26.25">
      <c r="Y399" s="6"/>
      <c r="Z399" s="6"/>
    </row>
    <row r="400" spans="25:26" ht="26.25">
      <c r="Y400" s="6"/>
      <c r="Z400" s="6"/>
    </row>
    <row r="401" spans="25:26" ht="26.25">
      <c r="Y401" s="6"/>
      <c r="Z401" s="6"/>
    </row>
    <row r="402" spans="25:26" ht="26.25">
      <c r="Y402" s="6"/>
      <c r="Z402" s="6"/>
    </row>
    <row r="403" spans="25:26" ht="26.25">
      <c r="Y403" s="6"/>
      <c r="Z403" s="6"/>
    </row>
    <row r="404" spans="25:26" ht="26.25">
      <c r="Y404" s="6"/>
      <c r="Z404" s="6"/>
    </row>
    <row r="405" spans="25:26" ht="26.25">
      <c r="Y405" s="6"/>
      <c r="Z405" s="6"/>
    </row>
    <row r="406" spans="25:26" ht="26.25">
      <c r="Y406" s="6"/>
      <c r="Z406" s="6"/>
    </row>
    <row r="407" spans="25:26" ht="26.25">
      <c r="Y407" s="6"/>
      <c r="Z407" s="6"/>
    </row>
    <row r="408" spans="25:26" ht="26.25">
      <c r="Y408" s="6"/>
      <c r="Z408" s="6"/>
    </row>
    <row r="409" spans="25:26" ht="26.25">
      <c r="Y409" s="6"/>
      <c r="Z409" s="6"/>
    </row>
    <row r="410" spans="25:26" ht="26.25">
      <c r="Y410" s="6"/>
      <c r="Z410" s="6"/>
    </row>
    <row r="411" spans="25:26" ht="26.25">
      <c r="Y411" s="6"/>
      <c r="Z411" s="6"/>
    </row>
    <row r="412" spans="25:26" ht="26.25">
      <c r="Y412" s="6"/>
      <c r="Z412" s="6"/>
    </row>
    <row r="413" spans="25:26" ht="26.25">
      <c r="Y413" s="6"/>
      <c r="Z413" s="6"/>
    </row>
    <row r="414" spans="25:26" ht="26.25">
      <c r="Y414" s="6"/>
      <c r="Z414" s="6"/>
    </row>
    <row r="415" spans="25:26" ht="26.25">
      <c r="Y415" s="6"/>
      <c r="Z415" s="6"/>
    </row>
    <row r="416" spans="25:26" ht="26.25">
      <c r="Y416" s="6"/>
      <c r="Z416" s="6"/>
    </row>
    <row r="417" spans="25:26" ht="26.25">
      <c r="Y417" s="6"/>
      <c r="Z417" s="6"/>
    </row>
    <row r="418" spans="25:26" ht="26.25">
      <c r="Y418" s="6"/>
      <c r="Z418" s="6"/>
    </row>
    <row r="419" spans="25:26" ht="26.25">
      <c r="Y419" s="6"/>
      <c r="Z419" s="6"/>
    </row>
    <row r="420" spans="25:26" ht="26.25">
      <c r="Y420" s="6"/>
      <c r="Z420" s="6"/>
    </row>
    <row r="421" spans="25:26" ht="26.25">
      <c r="Y421" s="6"/>
      <c r="Z421" s="6"/>
    </row>
    <row r="422" spans="25:26" ht="26.25">
      <c r="Y422" s="6"/>
      <c r="Z422" s="6"/>
    </row>
    <row r="423" spans="25:26" ht="26.25">
      <c r="Y423" s="6"/>
      <c r="Z423" s="6"/>
    </row>
    <row r="424" spans="25:26" ht="26.25">
      <c r="Y424" s="6"/>
      <c r="Z424" s="6"/>
    </row>
    <row r="425" spans="25:26" ht="26.25">
      <c r="Y425" s="6"/>
      <c r="Z425" s="6"/>
    </row>
    <row r="426" spans="25:26" ht="26.25">
      <c r="Y426" s="6"/>
      <c r="Z426" s="6"/>
    </row>
    <row r="427" spans="25:26" ht="26.25">
      <c r="Y427" s="6"/>
      <c r="Z427" s="6"/>
    </row>
    <row r="428" spans="25:26" ht="26.25">
      <c r="Y428" s="6"/>
      <c r="Z428" s="6"/>
    </row>
    <row r="429" spans="25:26" ht="26.25">
      <c r="Y429" s="6"/>
      <c r="Z429" s="6"/>
    </row>
    <row r="430" spans="25:26" ht="26.25">
      <c r="Y430" s="6"/>
      <c r="Z430" s="6"/>
    </row>
    <row r="431" spans="25:26" ht="26.25">
      <c r="Y431" s="6"/>
      <c r="Z431" s="6"/>
    </row>
    <row r="432" spans="25:26" ht="26.25">
      <c r="Y432" s="6"/>
      <c r="Z432" s="6"/>
    </row>
    <row r="433" spans="25:26" ht="26.25">
      <c r="Y433" s="6"/>
      <c r="Z433" s="6"/>
    </row>
    <row r="434" spans="25:26" ht="26.25">
      <c r="Y434" s="6"/>
      <c r="Z434" s="6"/>
    </row>
    <row r="435" spans="25:26" ht="26.25">
      <c r="Y435" s="6"/>
      <c r="Z435" s="6"/>
    </row>
    <row r="436" spans="25:26" ht="26.25">
      <c r="Y436" s="6"/>
      <c r="Z436" s="6"/>
    </row>
    <row r="437" spans="25:26" ht="26.25">
      <c r="Y437" s="6"/>
      <c r="Z437" s="6"/>
    </row>
    <row r="438" spans="25:26" ht="26.25">
      <c r="Y438" s="6"/>
      <c r="Z438" s="6"/>
    </row>
    <row r="439" spans="25:26" ht="26.25">
      <c r="Y439" s="6"/>
      <c r="Z439" s="6"/>
    </row>
    <row r="440" spans="25:26" ht="26.25">
      <c r="Y440" s="6"/>
      <c r="Z440" s="6"/>
    </row>
    <row r="441" spans="25:26" ht="26.25">
      <c r="Y441" s="6"/>
      <c r="Z441" s="6"/>
    </row>
    <row r="442" spans="25:26" ht="26.25">
      <c r="Y442" s="6"/>
      <c r="Z442" s="6"/>
    </row>
    <row r="443" spans="25:26" ht="26.25">
      <c r="Y443" s="6"/>
      <c r="Z443" s="6"/>
    </row>
    <row r="444" spans="25:26" ht="26.25">
      <c r="Y444" s="6"/>
      <c r="Z444" s="6"/>
    </row>
    <row r="445" spans="25:26" ht="26.25">
      <c r="Y445" s="6"/>
      <c r="Z445" s="6"/>
    </row>
    <row r="446" spans="25:26" ht="26.25">
      <c r="Y446" s="6"/>
      <c r="Z446" s="6"/>
    </row>
    <row r="447" spans="25:26" ht="26.25">
      <c r="Y447" s="6"/>
      <c r="Z447" s="6"/>
    </row>
    <row r="448" spans="25:26" ht="26.25">
      <c r="Y448" s="6"/>
      <c r="Z448" s="6"/>
    </row>
    <row r="449" spans="25:26" ht="26.25">
      <c r="Y449" s="6"/>
      <c r="Z449" s="6"/>
    </row>
    <row r="450" spans="25:26" ht="26.25">
      <c r="Y450" s="6"/>
      <c r="Z450" s="6"/>
    </row>
    <row r="451" spans="25:26" ht="26.25">
      <c r="Y451" s="6"/>
      <c r="Z451" s="6"/>
    </row>
    <row r="452" spans="25:26" ht="26.25">
      <c r="Y452" s="6"/>
      <c r="Z452" s="6"/>
    </row>
    <row r="453" spans="25:26" ht="26.25">
      <c r="Y453" s="6"/>
      <c r="Z453" s="6"/>
    </row>
    <row r="454" spans="25:26" ht="26.25">
      <c r="Y454" s="6"/>
      <c r="Z454" s="6"/>
    </row>
    <row r="455" spans="25:26" ht="26.25">
      <c r="Y455" s="6"/>
      <c r="Z455" s="6"/>
    </row>
    <row r="456" spans="25:26" ht="26.25">
      <c r="Y456" s="6"/>
      <c r="Z456" s="6"/>
    </row>
    <row r="457" spans="25:26" ht="26.25">
      <c r="Y457" s="6"/>
      <c r="Z457" s="6"/>
    </row>
    <row r="458" spans="25:26" ht="26.25">
      <c r="Y458" s="6"/>
      <c r="Z458" s="6"/>
    </row>
    <row r="459" spans="25:26" ht="26.25">
      <c r="Y459" s="6"/>
      <c r="Z459" s="6"/>
    </row>
    <row r="460" spans="25:26" ht="26.25">
      <c r="Y460" s="6"/>
      <c r="Z460" s="6"/>
    </row>
    <row r="461" spans="25:26" ht="26.25">
      <c r="Y461" s="6"/>
      <c r="Z461" s="6"/>
    </row>
    <row r="462" spans="25:26" ht="26.25">
      <c r="Y462" s="6"/>
      <c r="Z462" s="6"/>
    </row>
    <row r="463" spans="25:26" ht="26.25">
      <c r="Y463" s="6"/>
      <c r="Z463" s="6"/>
    </row>
    <row r="464" spans="25:26" ht="26.25">
      <c r="Y464" s="6"/>
      <c r="Z464" s="6"/>
    </row>
    <row r="465" spans="25:26" ht="26.25">
      <c r="Y465" s="6"/>
      <c r="Z465" s="6"/>
    </row>
    <row r="466" spans="25:26" ht="26.25">
      <c r="Y466" s="6"/>
      <c r="Z466" s="6"/>
    </row>
    <row r="467" spans="25:26" ht="26.25">
      <c r="Y467" s="6"/>
      <c r="Z467" s="6"/>
    </row>
    <row r="468" spans="25:26" ht="26.25">
      <c r="Y468" s="6"/>
      <c r="Z468" s="6"/>
    </row>
    <row r="469" spans="25:26" ht="26.25">
      <c r="Y469" s="6"/>
      <c r="Z469" s="6"/>
    </row>
    <row r="470" spans="25:26" ht="26.25">
      <c r="Y470" s="6"/>
      <c r="Z470" s="6"/>
    </row>
    <row r="471" spans="25:26" ht="26.25">
      <c r="Y471" s="6"/>
      <c r="Z471" s="6"/>
    </row>
    <row r="472" spans="25:26" ht="26.25">
      <c r="Y472" s="6"/>
      <c r="Z472" s="6"/>
    </row>
    <row r="473" spans="25:26" ht="26.25">
      <c r="Y473" s="6"/>
      <c r="Z473" s="6"/>
    </row>
    <row r="474" spans="25:26" ht="26.25">
      <c r="Y474" s="6"/>
      <c r="Z474" s="6"/>
    </row>
    <row r="475" spans="25:26" ht="26.25">
      <c r="Y475" s="6"/>
      <c r="Z475" s="6"/>
    </row>
    <row r="476" spans="25:26" ht="26.25">
      <c r="Y476" s="6"/>
      <c r="Z476" s="6"/>
    </row>
    <row r="477" spans="25:26" ht="26.25">
      <c r="Y477" s="6"/>
      <c r="Z477" s="6"/>
    </row>
    <row r="478" spans="25:26" ht="26.25">
      <c r="Y478" s="6"/>
      <c r="Z478" s="6"/>
    </row>
    <row r="479" spans="25:26" ht="26.25">
      <c r="Y479" s="6"/>
      <c r="Z479" s="6"/>
    </row>
    <row r="480" spans="25:26" ht="26.25">
      <c r="Y480" s="6"/>
      <c r="Z480" s="6"/>
    </row>
    <row r="481" spans="25:26" ht="26.25">
      <c r="Y481" s="6"/>
      <c r="Z481" s="6"/>
    </row>
    <row r="482" spans="25:26" ht="26.25">
      <c r="Y482" s="6"/>
      <c r="Z482" s="6"/>
    </row>
    <row r="483" spans="25:26" ht="26.25">
      <c r="Y483" s="6"/>
      <c r="Z483" s="6"/>
    </row>
    <row r="484" spans="25:26" ht="26.25">
      <c r="Y484" s="6"/>
      <c r="Z484" s="6"/>
    </row>
    <row r="485" spans="25:26" ht="26.25">
      <c r="Y485" s="6"/>
      <c r="Z485" s="6"/>
    </row>
    <row r="486" spans="25:26" ht="26.25">
      <c r="Y486" s="6"/>
      <c r="Z486" s="6"/>
    </row>
    <row r="487" spans="25:26" ht="26.25">
      <c r="Y487" s="6"/>
      <c r="Z487" s="6"/>
    </row>
    <row r="488" spans="25:26" ht="26.25">
      <c r="Y488" s="6"/>
      <c r="Z488" s="6"/>
    </row>
    <row r="489" spans="25:26" ht="26.25">
      <c r="Y489" s="6"/>
      <c r="Z489" s="6"/>
    </row>
    <row r="490" spans="25:26" ht="26.25">
      <c r="Y490" s="6"/>
      <c r="Z490" s="6"/>
    </row>
    <row r="491" spans="25:26" ht="26.25">
      <c r="Y491" s="6"/>
      <c r="Z491" s="6"/>
    </row>
    <row r="492" spans="25:26" ht="26.25">
      <c r="Y492" s="6"/>
      <c r="Z492" s="6"/>
    </row>
    <row r="493" spans="25:26" ht="26.25">
      <c r="Y493" s="6"/>
      <c r="Z493" s="6"/>
    </row>
    <row r="494" spans="25:26" ht="26.25">
      <c r="Y494" s="6"/>
      <c r="Z494" s="6"/>
    </row>
    <row r="495" spans="25:26" ht="26.25">
      <c r="Y495" s="6"/>
      <c r="Z495" s="6"/>
    </row>
    <row r="496" spans="25:26" ht="26.25">
      <c r="Y496" s="6"/>
      <c r="Z496" s="6"/>
    </row>
    <row r="497" spans="25:26" ht="26.25">
      <c r="Y497" s="6"/>
      <c r="Z497" s="6"/>
    </row>
    <row r="498" spans="25:26" ht="26.25">
      <c r="Y498" s="6"/>
      <c r="Z498" s="6"/>
    </row>
    <row r="499" spans="25:26" ht="26.25">
      <c r="Y499" s="6"/>
      <c r="Z499" s="6"/>
    </row>
    <row r="500" spans="25:26" ht="26.25">
      <c r="Y500" s="6"/>
      <c r="Z500" s="6"/>
    </row>
    <row r="501" spans="25:26" ht="26.25">
      <c r="Y501" s="6"/>
      <c r="Z501" s="6"/>
    </row>
    <row r="502" spans="25:26" ht="26.25">
      <c r="Y502" s="6"/>
      <c r="Z502" s="6"/>
    </row>
    <row r="503" spans="25:26" ht="26.25">
      <c r="Y503" s="6"/>
      <c r="Z503" s="6"/>
    </row>
    <row r="504" spans="25:26" ht="26.25">
      <c r="Y504" s="6"/>
      <c r="Z504" s="6"/>
    </row>
  </sheetData>
  <sheetProtection/>
  <mergeCells count="17">
    <mergeCell ref="A1:AP1"/>
    <mergeCell ref="A2:AP2"/>
    <mergeCell ref="A4:A5"/>
    <mergeCell ref="B4:B5"/>
    <mergeCell ref="C4:C5"/>
    <mergeCell ref="D4:I4"/>
    <mergeCell ref="K4:P4"/>
    <mergeCell ref="R4:W4"/>
    <mergeCell ref="Y4:AE4"/>
    <mergeCell ref="AF4:AL4"/>
    <mergeCell ref="BA48:BE48"/>
    <mergeCell ref="AM4:AS4"/>
    <mergeCell ref="AT4:AZ4"/>
    <mergeCell ref="B48:E48"/>
    <mergeCell ref="U48:V48"/>
    <mergeCell ref="AT48:AW48"/>
    <mergeCell ref="AY48:AZ48"/>
  </mergeCells>
  <printOptions/>
  <pageMargins left="0" right="0" top="0" bottom="0" header="0.1968503937007874" footer="0.2755905511811024"/>
  <pageSetup horizontalDpi="600" verticalDpi="600" orientation="landscape" paperSize="9" scale="25" r:id="rId1"/>
  <colBreaks count="2" manualBreakCount="2">
    <brk id="24" max="47" man="1"/>
    <brk id="45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05"/>
  <sheetViews>
    <sheetView view="pageBreakPreview" zoomScale="50" zoomScaleSheetLayoutView="50" zoomScalePageLayoutView="0" workbookViewId="0" topLeftCell="A1">
      <pane xSplit="2" ySplit="6" topLeftCell="Y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31" sqref="G31"/>
    </sheetView>
  </sheetViews>
  <sheetFormatPr defaultColWidth="9.00390625" defaultRowHeight="12.75"/>
  <cols>
    <col min="1" max="1" width="11.125" style="5" customWidth="1"/>
    <col min="2" max="2" width="74.00390625" style="5" customWidth="1"/>
    <col min="3" max="3" width="11.125" style="5" customWidth="1"/>
    <col min="4" max="4" width="18.875" style="6" customWidth="1"/>
    <col min="5" max="5" width="22.125" style="92" customWidth="1"/>
    <col min="6" max="6" width="20.125" style="92" customWidth="1"/>
    <col min="7" max="7" width="20.25390625" style="92" customWidth="1"/>
    <col min="8" max="10" width="19.625" style="92" customWidth="1"/>
    <col min="11" max="11" width="21.75390625" style="6" hidden="1" customWidth="1"/>
    <col min="12" max="12" width="20.375" style="6" hidden="1" customWidth="1"/>
    <col min="13" max="13" width="16.625" style="6" hidden="1" customWidth="1"/>
    <col min="14" max="14" width="19.75390625" style="6" hidden="1" customWidth="1"/>
    <col min="15" max="15" width="18.00390625" style="6" hidden="1" customWidth="1"/>
    <col min="16" max="16" width="20.25390625" style="6" hidden="1" customWidth="1"/>
    <col min="17" max="17" width="20.00390625" style="6" hidden="1" customWidth="1"/>
    <col min="18" max="18" width="24.125" style="6" hidden="1" customWidth="1"/>
    <col min="19" max="19" width="23.625" style="6" hidden="1" customWidth="1"/>
    <col min="20" max="20" width="24.00390625" style="6" hidden="1" customWidth="1"/>
    <col min="21" max="21" width="25.625" style="6" hidden="1" customWidth="1"/>
    <col min="22" max="22" width="23.00390625" style="6" hidden="1" customWidth="1"/>
    <col min="23" max="23" width="26.625" style="6" hidden="1" customWidth="1"/>
    <col min="24" max="24" width="23.125" style="6" hidden="1" customWidth="1"/>
    <col min="25" max="25" width="21.625" style="95" customWidth="1"/>
    <col min="26" max="26" width="27.25390625" style="92" customWidth="1"/>
    <col min="27" max="27" width="21.625" style="92" customWidth="1"/>
    <col min="28" max="28" width="20.125" style="92" customWidth="1"/>
    <col min="29" max="29" width="20.375" style="92" customWidth="1"/>
    <col min="30" max="30" width="20.875" style="92" customWidth="1"/>
    <col min="31" max="31" width="21.75390625" style="92" customWidth="1"/>
    <col min="32" max="32" width="17.375" style="6" customWidth="1"/>
    <col min="33" max="33" width="17.75390625" style="6" customWidth="1"/>
    <col min="34" max="34" width="17.875" style="6" customWidth="1"/>
    <col min="35" max="35" width="17.00390625" style="6" customWidth="1"/>
    <col min="36" max="36" width="16.125" style="6" customWidth="1"/>
    <col min="37" max="37" width="17.25390625" style="6" customWidth="1"/>
    <col min="38" max="38" width="19.625" style="6" customWidth="1"/>
    <col min="39" max="39" width="26.875" style="6" customWidth="1"/>
    <col min="40" max="40" width="24.375" style="6" customWidth="1"/>
    <col min="41" max="41" width="25.375" style="6" customWidth="1"/>
    <col min="42" max="42" width="25.625" style="6" customWidth="1"/>
    <col min="43" max="43" width="25.00390625" style="6" customWidth="1"/>
    <col min="44" max="45" width="26.25390625" style="6" customWidth="1"/>
    <col min="46" max="46" width="25.625" style="93" hidden="1" customWidth="1"/>
    <col min="47" max="48" width="23.875" style="6" hidden="1" customWidth="1"/>
    <col min="49" max="49" width="26.125" style="6" hidden="1" customWidth="1"/>
    <col min="50" max="50" width="23.875" style="6" hidden="1" customWidth="1"/>
    <col min="51" max="52" width="25.375" style="6" hidden="1" customWidth="1"/>
    <col min="53" max="65" width="9.125" style="4" customWidth="1"/>
    <col min="66" max="16384" width="9.125" style="5" customWidth="1"/>
  </cols>
  <sheetData>
    <row r="1" spans="1:52" ht="36" customHeight="1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1"/>
      <c r="AR1" s="1"/>
      <c r="AS1" s="1"/>
      <c r="AT1" s="2"/>
      <c r="AU1" s="3"/>
      <c r="AV1" s="3"/>
      <c r="AW1" s="3"/>
      <c r="AX1" s="3"/>
      <c r="AY1" s="3"/>
      <c r="AZ1" s="3"/>
    </row>
    <row r="2" spans="1:52" ht="30" customHeight="1">
      <c r="A2" s="215" t="s">
        <v>57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1"/>
      <c r="AR2" s="1"/>
      <c r="AS2" s="1"/>
      <c r="AT2" s="2"/>
      <c r="AU2" s="3"/>
      <c r="AV2" s="3"/>
      <c r="AW2" s="3"/>
      <c r="AX2" s="3"/>
      <c r="AY2" s="3"/>
      <c r="AZ2" s="3"/>
    </row>
    <row r="3" spans="1:46" ht="11.25" customHeight="1" thickBot="1">
      <c r="A3" s="1"/>
      <c r="B3" s="1"/>
      <c r="D3" s="3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2"/>
    </row>
    <row r="4" spans="1:65" s="8" customFormat="1" ht="30.75" customHeight="1">
      <c r="A4" s="216"/>
      <c r="B4" s="218" t="s">
        <v>7</v>
      </c>
      <c r="C4" s="218"/>
      <c r="D4" s="209" t="s">
        <v>30</v>
      </c>
      <c r="E4" s="210"/>
      <c r="F4" s="210"/>
      <c r="G4" s="210"/>
      <c r="H4" s="210"/>
      <c r="I4" s="220"/>
      <c r="J4" s="111"/>
      <c r="K4" s="209" t="s">
        <v>11</v>
      </c>
      <c r="L4" s="210"/>
      <c r="M4" s="210"/>
      <c r="N4" s="210"/>
      <c r="O4" s="210"/>
      <c r="P4" s="220"/>
      <c r="Q4" s="111"/>
      <c r="R4" s="209" t="s">
        <v>31</v>
      </c>
      <c r="S4" s="210"/>
      <c r="T4" s="210"/>
      <c r="U4" s="210"/>
      <c r="V4" s="210"/>
      <c r="W4" s="220"/>
      <c r="X4" s="111"/>
      <c r="Y4" s="209" t="s">
        <v>8</v>
      </c>
      <c r="Z4" s="210"/>
      <c r="AA4" s="210"/>
      <c r="AB4" s="210"/>
      <c r="AC4" s="210"/>
      <c r="AD4" s="210"/>
      <c r="AE4" s="220"/>
      <c r="AF4" s="221" t="s">
        <v>10</v>
      </c>
      <c r="AG4" s="222"/>
      <c r="AH4" s="222"/>
      <c r="AI4" s="222"/>
      <c r="AJ4" s="222"/>
      <c r="AK4" s="222"/>
      <c r="AL4" s="223"/>
      <c r="AM4" s="209" t="s">
        <v>32</v>
      </c>
      <c r="AN4" s="210"/>
      <c r="AO4" s="210"/>
      <c r="AP4" s="210"/>
      <c r="AQ4" s="210"/>
      <c r="AR4" s="210"/>
      <c r="AS4" s="210"/>
      <c r="AT4" s="211" t="s">
        <v>33</v>
      </c>
      <c r="AU4" s="210"/>
      <c r="AV4" s="210"/>
      <c r="AW4" s="210"/>
      <c r="AX4" s="210"/>
      <c r="AY4" s="210"/>
      <c r="AZ4" s="212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52" ht="50.25" customHeight="1">
      <c r="A5" s="217"/>
      <c r="B5" s="219"/>
      <c r="C5" s="219"/>
      <c r="D5" s="11" t="s">
        <v>6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12" t="s">
        <v>36</v>
      </c>
      <c r="K5" s="11" t="s">
        <v>6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36</v>
      </c>
      <c r="R5" s="11" t="s">
        <v>6</v>
      </c>
      <c r="S5" s="12" t="s">
        <v>12</v>
      </c>
      <c r="T5" s="12" t="s">
        <v>13</v>
      </c>
      <c r="U5" s="12" t="s">
        <v>14</v>
      </c>
      <c r="V5" s="12" t="s">
        <v>15</v>
      </c>
      <c r="W5" s="12" t="s">
        <v>16</v>
      </c>
      <c r="X5" s="12" t="s">
        <v>36</v>
      </c>
      <c r="Y5" s="11" t="s">
        <v>6</v>
      </c>
      <c r="Z5" s="12" t="s">
        <v>12</v>
      </c>
      <c r="AA5" s="12" t="s">
        <v>13</v>
      </c>
      <c r="AB5" s="12" t="s">
        <v>14</v>
      </c>
      <c r="AC5" s="12" t="s">
        <v>15</v>
      </c>
      <c r="AD5" s="12" t="s">
        <v>16</v>
      </c>
      <c r="AE5" s="12" t="s">
        <v>36</v>
      </c>
      <c r="AF5" s="11" t="s">
        <v>6</v>
      </c>
      <c r="AG5" s="12" t="s">
        <v>12</v>
      </c>
      <c r="AH5" s="12" t="s">
        <v>13</v>
      </c>
      <c r="AI5" s="12" t="s">
        <v>14</v>
      </c>
      <c r="AJ5" s="12" t="s">
        <v>15</v>
      </c>
      <c r="AK5" s="12" t="s">
        <v>16</v>
      </c>
      <c r="AL5" s="12" t="s">
        <v>36</v>
      </c>
      <c r="AM5" s="14" t="s">
        <v>6</v>
      </c>
      <c r="AN5" s="12" t="s">
        <v>12</v>
      </c>
      <c r="AO5" s="12" t="s">
        <v>13</v>
      </c>
      <c r="AP5" s="12" t="s">
        <v>14</v>
      </c>
      <c r="AQ5" s="12" t="s">
        <v>15</v>
      </c>
      <c r="AR5" s="12" t="s">
        <v>16</v>
      </c>
      <c r="AS5" s="112" t="s">
        <v>36</v>
      </c>
      <c r="AT5" s="114" t="s">
        <v>6</v>
      </c>
      <c r="AU5" s="16" t="s">
        <v>12</v>
      </c>
      <c r="AV5" s="16" t="s">
        <v>13</v>
      </c>
      <c r="AW5" s="16" t="s">
        <v>14</v>
      </c>
      <c r="AX5" s="16" t="s">
        <v>15</v>
      </c>
      <c r="AY5" s="16" t="s">
        <v>16</v>
      </c>
      <c r="AZ5" s="110" t="s">
        <v>36</v>
      </c>
    </row>
    <row r="6" spans="1:65" s="22" customFormat="1" ht="25.5" customHeight="1" thickBot="1">
      <c r="A6" s="17"/>
      <c r="B6" s="18">
        <v>2</v>
      </c>
      <c r="C6" s="18"/>
      <c r="D6" s="19">
        <v>3</v>
      </c>
      <c r="E6" s="18"/>
      <c r="F6" s="18"/>
      <c r="G6" s="18"/>
      <c r="H6" s="18"/>
      <c r="I6" s="18"/>
      <c r="J6" s="18"/>
      <c r="K6" s="19">
        <v>4</v>
      </c>
      <c r="L6" s="20"/>
      <c r="M6" s="20"/>
      <c r="N6" s="20"/>
      <c r="O6" s="20"/>
      <c r="P6" s="20"/>
      <c r="Q6" s="20"/>
      <c r="R6" s="19">
        <v>5</v>
      </c>
      <c r="S6" s="20"/>
      <c r="T6" s="20"/>
      <c r="U6" s="20"/>
      <c r="V6" s="20"/>
      <c r="W6" s="20"/>
      <c r="X6" s="20"/>
      <c r="Y6" s="19">
        <v>6</v>
      </c>
      <c r="Z6" s="18"/>
      <c r="AA6" s="18"/>
      <c r="AB6" s="18"/>
      <c r="AC6" s="18"/>
      <c r="AD6" s="18"/>
      <c r="AE6" s="18"/>
      <c r="AF6" s="19">
        <v>7</v>
      </c>
      <c r="AG6" s="20"/>
      <c r="AH6" s="20"/>
      <c r="AI6" s="20"/>
      <c r="AJ6" s="20"/>
      <c r="AK6" s="20"/>
      <c r="AL6" s="20"/>
      <c r="AM6" s="19">
        <v>8</v>
      </c>
      <c r="AN6" s="20"/>
      <c r="AO6" s="20"/>
      <c r="AP6" s="20"/>
      <c r="AQ6" s="20"/>
      <c r="AR6" s="20"/>
      <c r="AS6" s="113"/>
      <c r="AT6" s="115">
        <v>9</v>
      </c>
      <c r="AU6" s="116"/>
      <c r="AV6" s="116"/>
      <c r="AW6" s="116"/>
      <c r="AX6" s="116"/>
      <c r="AY6" s="116"/>
      <c r="AZ6" s="117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</row>
    <row r="7" spans="1:65" s="29" customFormat="1" ht="43.5" customHeight="1" thickBot="1">
      <c r="A7" s="23">
        <v>1</v>
      </c>
      <c r="B7" s="24" t="s">
        <v>2</v>
      </c>
      <c r="C7" s="24" t="s">
        <v>4</v>
      </c>
      <c r="D7" s="25">
        <f aca="true" t="shared" si="0" ref="D7:J7">SUM(D8:D18)</f>
        <v>1.4662758393730435</v>
      </c>
      <c r="E7" s="25">
        <f t="shared" si="0"/>
        <v>0</v>
      </c>
      <c r="F7" s="25">
        <f t="shared" si="0"/>
        <v>0</v>
      </c>
      <c r="G7" s="25">
        <f t="shared" si="0"/>
        <v>1.4662758393730435</v>
      </c>
      <c r="H7" s="25">
        <f t="shared" si="0"/>
        <v>0</v>
      </c>
      <c r="I7" s="25">
        <f t="shared" si="0"/>
        <v>0</v>
      </c>
      <c r="J7" s="25">
        <f t="shared" si="0"/>
        <v>0</v>
      </c>
      <c r="K7" s="27">
        <f aca="true" t="shared" si="1" ref="K7:P7">R7/D7</f>
        <v>1306.63</v>
      </c>
      <c r="L7" s="27" t="e">
        <f t="shared" si="1"/>
        <v>#DIV/0!</v>
      </c>
      <c r="M7" s="27" t="e">
        <f t="shared" si="1"/>
        <v>#DIV/0!</v>
      </c>
      <c r="N7" s="27">
        <f t="shared" si="1"/>
        <v>1306.63</v>
      </c>
      <c r="O7" s="27" t="e">
        <f t="shared" si="1"/>
        <v>#DIV/0!</v>
      </c>
      <c r="P7" s="27" t="e">
        <f t="shared" si="1"/>
        <v>#DIV/0!</v>
      </c>
      <c r="Q7" s="27" t="e">
        <f>Y7/J7</f>
        <v>#DIV/0!</v>
      </c>
      <c r="R7" s="27">
        <f aca="true" t="shared" si="2" ref="R7:AE7">SUM(R8:R18)</f>
        <v>1915.88</v>
      </c>
      <c r="S7" s="27">
        <f t="shared" si="2"/>
        <v>0</v>
      </c>
      <c r="T7" s="27">
        <f t="shared" si="2"/>
        <v>0</v>
      </c>
      <c r="U7" s="27">
        <f t="shared" si="2"/>
        <v>1915.88</v>
      </c>
      <c r="V7" s="27">
        <f t="shared" si="2"/>
        <v>0</v>
      </c>
      <c r="W7" s="27">
        <f t="shared" si="2"/>
        <v>0</v>
      </c>
      <c r="X7" s="27">
        <f t="shared" si="2"/>
        <v>0</v>
      </c>
      <c r="Y7" s="59">
        <f t="shared" si="2"/>
        <v>3.489671904058532</v>
      </c>
      <c r="Z7" s="59">
        <f t="shared" si="2"/>
        <v>0</v>
      </c>
      <c r="AA7" s="59">
        <f t="shared" si="2"/>
        <v>0</v>
      </c>
      <c r="AB7" s="59">
        <f t="shared" si="2"/>
        <v>3.489671904058532</v>
      </c>
      <c r="AC7" s="59">
        <f t="shared" si="2"/>
        <v>0</v>
      </c>
      <c r="AD7" s="59">
        <f t="shared" si="2"/>
        <v>0</v>
      </c>
      <c r="AE7" s="59">
        <f t="shared" si="2"/>
        <v>0</v>
      </c>
      <c r="AF7" s="28">
        <f>AM7/Y7</f>
        <v>1306.63</v>
      </c>
      <c r="AG7" s="101" t="e">
        <f>AN7/Z7</f>
        <v>#DIV/0!</v>
      </c>
      <c r="AH7" s="101">
        <f>AH10</f>
        <v>1306.63</v>
      </c>
      <c r="AI7" s="101">
        <f>AI9</f>
        <v>1306.63</v>
      </c>
      <c r="AJ7" s="101">
        <f>AJ12</f>
        <v>1306.63</v>
      </c>
      <c r="AK7" s="27">
        <f>AK12</f>
        <v>1306.63</v>
      </c>
      <c r="AL7" s="27" t="e">
        <f>AS7/AE7</f>
        <v>#DIV/0!</v>
      </c>
      <c r="AM7" s="27">
        <f aca="true" t="shared" si="3" ref="AM7:AZ7">SUM(AM8:AM18)</f>
        <v>4559.71</v>
      </c>
      <c r="AN7" s="27">
        <f t="shared" si="3"/>
        <v>0</v>
      </c>
      <c r="AO7" s="27">
        <f t="shared" si="3"/>
        <v>0</v>
      </c>
      <c r="AP7" s="27">
        <f t="shared" si="3"/>
        <v>4559.71</v>
      </c>
      <c r="AQ7" s="27">
        <f t="shared" si="3"/>
        <v>0</v>
      </c>
      <c r="AR7" s="27">
        <f t="shared" si="3"/>
        <v>0</v>
      </c>
      <c r="AS7" s="27">
        <f t="shared" si="3"/>
        <v>0</v>
      </c>
      <c r="AT7" s="118">
        <f t="shared" si="3"/>
        <v>0</v>
      </c>
      <c r="AU7" s="27">
        <f t="shared" si="3"/>
        <v>0</v>
      </c>
      <c r="AV7" s="27">
        <f t="shared" si="3"/>
        <v>0</v>
      </c>
      <c r="AW7" s="27">
        <f t="shared" si="3"/>
        <v>0</v>
      </c>
      <c r="AX7" s="27">
        <f t="shared" si="3"/>
        <v>0</v>
      </c>
      <c r="AY7" s="27">
        <f t="shared" si="3"/>
        <v>0</v>
      </c>
      <c r="AZ7" s="27">
        <f t="shared" si="3"/>
        <v>0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</row>
    <row r="8" spans="1:52" ht="53.25" customHeight="1">
      <c r="A8" s="38"/>
      <c r="B8" s="47" t="s">
        <v>20</v>
      </c>
      <c r="C8" s="48"/>
      <c r="D8" s="49">
        <f aca="true" t="shared" si="4" ref="D8:D16">SUM(E8:I8)</f>
        <v>0</v>
      </c>
      <c r="E8" s="45">
        <f>S8/L8</f>
        <v>0</v>
      </c>
      <c r="F8" s="45"/>
      <c r="G8" s="45"/>
      <c r="H8" s="45"/>
      <c r="I8" s="45"/>
      <c r="J8" s="45"/>
      <c r="K8" s="14" t="e">
        <f aca="true" t="shared" si="5" ref="K8:K22">R8/D8</f>
        <v>#DIV/0!</v>
      </c>
      <c r="L8" s="13">
        <v>1393.74</v>
      </c>
      <c r="M8" s="13"/>
      <c r="N8" s="13"/>
      <c r="O8" s="13"/>
      <c r="P8" s="13"/>
      <c r="Q8" s="37"/>
      <c r="R8" s="15">
        <f aca="true" t="shared" si="6" ref="R8:R16">SUM(S8:W8)</f>
        <v>0</v>
      </c>
      <c r="S8" s="50"/>
      <c r="T8" s="50"/>
      <c r="U8" s="50"/>
      <c r="V8" s="50"/>
      <c r="W8" s="50"/>
      <c r="X8" s="13"/>
      <c r="Y8" s="67">
        <f aca="true" t="shared" si="7" ref="Y8:Y16">SUM(Z8:AD8)</f>
        <v>0</v>
      </c>
      <c r="Z8" s="97">
        <f>AN8/AG8</f>
        <v>0</v>
      </c>
      <c r="AA8" s="97"/>
      <c r="AB8" s="97"/>
      <c r="AC8" s="97"/>
      <c r="AD8" s="97"/>
      <c r="AE8" s="97"/>
      <c r="AF8" s="14">
        <f>AG8</f>
        <v>1393.74</v>
      </c>
      <c r="AG8" s="13">
        <v>1393.74</v>
      </c>
      <c r="AH8" s="13"/>
      <c r="AI8" s="13"/>
      <c r="AJ8" s="13"/>
      <c r="AK8" s="13"/>
      <c r="AL8" s="37"/>
      <c r="AM8" s="15">
        <f aca="true" t="shared" si="8" ref="AM8:AM16">SUM(AN8:AR8)</f>
        <v>0</v>
      </c>
      <c r="AN8" s="50"/>
      <c r="AO8" s="50"/>
      <c r="AP8" s="50"/>
      <c r="AQ8" s="50"/>
      <c r="AR8" s="50"/>
      <c r="AS8" s="13"/>
      <c r="AT8" s="15">
        <f aca="true" t="shared" si="9" ref="AT8:AT16">SUM(AU8:AY8)</f>
        <v>0</v>
      </c>
      <c r="AU8" s="37">
        <f>(L8-AG8)*E8</f>
        <v>0</v>
      </c>
      <c r="AV8" s="37"/>
      <c r="AW8" s="37"/>
      <c r="AX8" s="37"/>
      <c r="AY8" s="37"/>
      <c r="AZ8" s="13"/>
    </row>
    <row r="9" spans="1:52" ht="53.25" customHeight="1">
      <c r="A9" s="38"/>
      <c r="B9" s="47" t="s">
        <v>21</v>
      </c>
      <c r="C9" s="48"/>
      <c r="D9" s="51">
        <f t="shared" si="4"/>
        <v>0</v>
      </c>
      <c r="E9" s="45"/>
      <c r="F9" s="45"/>
      <c r="G9" s="52">
        <f>U9/N9</f>
        <v>0</v>
      </c>
      <c r="H9" s="45"/>
      <c r="I9" s="45"/>
      <c r="J9" s="45"/>
      <c r="K9" s="14" t="e">
        <f t="shared" si="5"/>
        <v>#DIV/0!</v>
      </c>
      <c r="L9" s="13"/>
      <c r="M9" s="13"/>
      <c r="N9" s="13">
        <v>1306.63</v>
      </c>
      <c r="O9" s="13"/>
      <c r="P9" s="13"/>
      <c r="Q9" s="37"/>
      <c r="R9" s="15">
        <f t="shared" si="6"/>
        <v>0</v>
      </c>
      <c r="S9" s="50"/>
      <c r="T9" s="50"/>
      <c r="U9" s="50"/>
      <c r="V9" s="50"/>
      <c r="W9" s="50"/>
      <c r="X9" s="13"/>
      <c r="Y9" s="67">
        <f t="shared" si="7"/>
        <v>0</v>
      </c>
      <c r="Z9" s="97"/>
      <c r="AA9" s="97"/>
      <c r="AB9" s="97">
        <f>AP9/AI9</f>
        <v>0</v>
      </c>
      <c r="AC9" s="97"/>
      <c r="AD9" s="97"/>
      <c r="AE9" s="97"/>
      <c r="AF9" s="14">
        <f>AI9</f>
        <v>1306.63</v>
      </c>
      <c r="AG9" s="13"/>
      <c r="AH9" s="13"/>
      <c r="AI9" s="13">
        <v>1306.63</v>
      </c>
      <c r="AJ9" s="13"/>
      <c r="AK9" s="13"/>
      <c r="AL9" s="37"/>
      <c r="AM9" s="15">
        <f t="shared" si="8"/>
        <v>0</v>
      </c>
      <c r="AN9" s="50"/>
      <c r="AO9" s="50"/>
      <c r="AP9" s="50"/>
      <c r="AQ9" s="50"/>
      <c r="AR9" s="50"/>
      <c r="AS9" s="13"/>
      <c r="AT9" s="15">
        <f t="shared" si="9"/>
        <v>0</v>
      </c>
      <c r="AU9" s="37"/>
      <c r="AV9" s="37"/>
      <c r="AW9" s="37">
        <f>(N9-AI9)*G9</f>
        <v>0</v>
      </c>
      <c r="AX9" s="37"/>
      <c r="AY9" s="37"/>
      <c r="AZ9" s="13"/>
    </row>
    <row r="10" spans="1:52" ht="54.75" customHeight="1">
      <c r="A10" s="40"/>
      <c r="B10" s="54" t="s">
        <v>43</v>
      </c>
      <c r="C10" s="40"/>
      <c r="D10" s="49">
        <f t="shared" si="4"/>
        <v>0</v>
      </c>
      <c r="E10" s="45"/>
      <c r="F10" s="45">
        <f>T10/M10</f>
        <v>0</v>
      </c>
      <c r="G10" s="45"/>
      <c r="H10" s="45"/>
      <c r="I10" s="45"/>
      <c r="J10" s="45"/>
      <c r="K10" s="14" t="e">
        <f t="shared" si="5"/>
        <v>#DIV/0!</v>
      </c>
      <c r="L10" s="13"/>
      <c r="M10" s="13">
        <v>1306.63</v>
      </c>
      <c r="N10" s="13"/>
      <c r="O10" s="13"/>
      <c r="P10" s="13"/>
      <c r="Q10" s="37"/>
      <c r="R10" s="15">
        <f t="shared" si="6"/>
        <v>0</v>
      </c>
      <c r="S10" s="13"/>
      <c r="T10" s="13"/>
      <c r="U10" s="13"/>
      <c r="V10" s="13"/>
      <c r="W10" s="13"/>
      <c r="X10" s="37"/>
      <c r="Y10" s="67">
        <f t="shared" si="7"/>
        <v>0</v>
      </c>
      <c r="Z10" s="97"/>
      <c r="AA10" s="97">
        <f>AO10/AH10</f>
        <v>0</v>
      </c>
      <c r="AB10" s="97"/>
      <c r="AC10" s="97"/>
      <c r="AD10" s="97"/>
      <c r="AE10" s="97"/>
      <c r="AF10" s="14">
        <f>AH10</f>
        <v>1306.63</v>
      </c>
      <c r="AG10" s="13"/>
      <c r="AH10" s="13">
        <v>1306.63</v>
      </c>
      <c r="AI10" s="13"/>
      <c r="AJ10" s="13"/>
      <c r="AK10" s="13"/>
      <c r="AL10" s="37"/>
      <c r="AM10" s="15">
        <f t="shared" si="8"/>
        <v>0</v>
      </c>
      <c r="AN10" s="13"/>
      <c r="AO10" s="13"/>
      <c r="AP10" s="13"/>
      <c r="AQ10" s="13"/>
      <c r="AR10" s="13"/>
      <c r="AS10" s="13"/>
      <c r="AT10" s="15">
        <f t="shared" si="9"/>
        <v>0</v>
      </c>
      <c r="AU10" s="37"/>
      <c r="AV10" s="37">
        <f>(M10-AH10)*F10</f>
        <v>0</v>
      </c>
      <c r="AW10" s="37"/>
      <c r="AX10" s="37"/>
      <c r="AY10" s="37"/>
      <c r="AZ10" s="13"/>
    </row>
    <row r="11" spans="1:52" ht="42" customHeight="1">
      <c r="A11" s="40"/>
      <c r="B11" s="54" t="s">
        <v>22</v>
      </c>
      <c r="C11" s="40"/>
      <c r="D11" s="41">
        <f t="shared" si="4"/>
        <v>0</v>
      </c>
      <c r="E11" s="42"/>
      <c r="F11" s="42"/>
      <c r="G11" s="42">
        <f>U11/N11</f>
        <v>0</v>
      </c>
      <c r="H11" s="42"/>
      <c r="I11" s="42"/>
      <c r="J11" s="42"/>
      <c r="K11" s="14" t="e">
        <f t="shared" si="5"/>
        <v>#DIV/0!</v>
      </c>
      <c r="L11" s="13"/>
      <c r="M11" s="13"/>
      <c r="N11" s="13">
        <v>1306.63</v>
      </c>
      <c r="O11" s="13"/>
      <c r="P11" s="13"/>
      <c r="Q11" s="13"/>
      <c r="R11" s="14">
        <f t="shared" si="6"/>
        <v>0</v>
      </c>
      <c r="S11" s="13"/>
      <c r="T11" s="13"/>
      <c r="U11" s="13"/>
      <c r="V11" s="13"/>
      <c r="W11" s="13"/>
      <c r="X11" s="13"/>
      <c r="Y11" s="64">
        <f t="shared" si="7"/>
        <v>0</v>
      </c>
      <c r="Z11" s="65"/>
      <c r="AA11" s="65"/>
      <c r="AB11" s="65">
        <f>AP11/AI11</f>
        <v>0</v>
      </c>
      <c r="AC11" s="65"/>
      <c r="AD11" s="65"/>
      <c r="AE11" s="65"/>
      <c r="AF11" s="14">
        <f>AI11</f>
        <v>1306.63</v>
      </c>
      <c r="AG11" s="13"/>
      <c r="AH11" s="13"/>
      <c r="AI11" s="13">
        <v>1306.63</v>
      </c>
      <c r="AJ11" s="13"/>
      <c r="AK11" s="13"/>
      <c r="AL11" s="13"/>
      <c r="AM11" s="14">
        <f t="shared" si="8"/>
        <v>0</v>
      </c>
      <c r="AN11" s="13"/>
      <c r="AO11" s="13"/>
      <c r="AP11" s="13"/>
      <c r="AQ11" s="13"/>
      <c r="AR11" s="13"/>
      <c r="AS11" s="13"/>
      <c r="AT11" s="14">
        <f t="shared" si="9"/>
        <v>0</v>
      </c>
      <c r="AU11" s="37"/>
      <c r="AV11" s="37"/>
      <c r="AW11" s="37">
        <f>(N11-AI11)*G11</f>
        <v>0</v>
      </c>
      <c r="AX11" s="37"/>
      <c r="AY11" s="37"/>
      <c r="AZ11" s="13"/>
    </row>
    <row r="12" spans="1:52" ht="33" customHeight="1">
      <c r="A12" s="30"/>
      <c r="B12" s="31" t="s">
        <v>17</v>
      </c>
      <c r="C12" s="32"/>
      <c r="D12" s="33">
        <f t="shared" si="4"/>
        <v>0</v>
      </c>
      <c r="E12" s="34">
        <f>S12/L12</f>
        <v>0</v>
      </c>
      <c r="F12" s="34">
        <f>T12/M12</f>
        <v>0</v>
      </c>
      <c r="G12" s="34">
        <f>U12/N12</f>
        <v>0</v>
      </c>
      <c r="H12" s="34">
        <f>V12/O12</f>
        <v>0</v>
      </c>
      <c r="I12" s="34">
        <f>W12/P12</f>
        <v>0</v>
      </c>
      <c r="J12" s="34"/>
      <c r="K12" s="35" t="e">
        <f t="shared" si="5"/>
        <v>#DIV/0!</v>
      </c>
      <c r="L12" s="37">
        <v>1306.63</v>
      </c>
      <c r="M12" s="37">
        <f>L12</f>
        <v>1306.63</v>
      </c>
      <c r="N12" s="37">
        <f>M12</f>
        <v>1306.63</v>
      </c>
      <c r="O12" s="37">
        <f>N12</f>
        <v>1306.63</v>
      </c>
      <c r="P12" s="37">
        <f>O12</f>
        <v>1306.63</v>
      </c>
      <c r="Q12" s="36"/>
      <c r="R12" s="35">
        <f t="shared" si="6"/>
        <v>0</v>
      </c>
      <c r="S12" s="36"/>
      <c r="T12" s="36"/>
      <c r="U12" s="36"/>
      <c r="V12" s="36"/>
      <c r="W12" s="36"/>
      <c r="X12" s="36"/>
      <c r="Y12" s="62">
        <f t="shared" si="7"/>
        <v>0</v>
      </c>
      <c r="Z12" s="34">
        <f>AN12/AG12</f>
        <v>0</v>
      </c>
      <c r="AA12" s="34">
        <f>AO12/AH12</f>
        <v>0</v>
      </c>
      <c r="AB12" s="34">
        <f>AP12/AI12</f>
        <v>0</v>
      </c>
      <c r="AC12" s="34">
        <f>AQ12/AJ12</f>
        <v>0</v>
      </c>
      <c r="AD12" s="34">
        <f>AR12/AK12</f>
        <v>0</v>
      </c>
      <c r="AE12" s="34"/>
      <c r="AF12" s="15">
        <f>AG12</f>
        <v>1306.63</v>
      </c>
      <c r="AG12" s="37">
        <v>1306.63</v>
      </c>
      <c r="AH12" s="37">
        <f>AG12</f>
        <v>1306.63</v>
      </c>
      <c r="AI12" s="37">
        <f>AH12</f>
        <v>1306.63</v>
      </c>
      <c r="AJ12" s="37">
        <f>AI12</f>
        <v>1306.63</v>
      </c>
      <c r="AK12" s="37">
        <f>AJ12</f>
        <v>1306.63</v>
      </c>
      <c r="AL12" s="36"/>
      <c r="AM12" s="35">
        <f t="shared" si="8"/>
        <v>0</v>
      </c>
      <c r="AN12" s="36"/>
      <c r="AO12" s="36"/>
      <c r="AP12" s="36"/>
      <c r="AQ12" s="36"/>
      <c r="AR12" s="36"/>
      <c r="AS12" s="36"/>
      <c r="AT12" s="35">
        <f t="shared" si="9"/>
        <v>0</v>
      </c>
      <c r="AU12" s="37">
        <f>(L12-AG12)*E12</f>
        <v>0</v>
      </c>
      <c r="AV12" s="37">
        <f>(M12-AH12)*F12</f>
        <v>0</v>
      </c>
      <c r="AW12" s="37">
        <f>(N12-AI12)*G12</f>
        <v>0</v>
      </c>
      <c r="AX12" s="37">
        <f>(O12-AJ12)*H12</f>
        <v>0</v>
      </c>
      <c r="AY12" s="37">
        <f>(P12-AK12)*I12</f>
        <v>0</v>
      </c>
      <c r="AZ12" s="37"/>
    </row>
    <row r="13" spans="1:52" ht="63.75" customHeight="1">
      <c r="A13" s="38"/>
      <c r="B13" s="39" t="s">
        <v>42</v>
      </c>
      <c r="C13" s="40"/>
      <c r="D13" s="41">
        <f t="shared" si="4"/>
        <v>0</v>
      </c>
      <c r="E13" s="42"/>
      <c r="F13" s="42"/>
      <c r="G13" s="42"/>
      <c r="H13" s="42"/>
      <c r="I13" s="42">
        <f>W13/P13</f>
        <v>0</v>
      </c>
      <c r="J13" s="42"/>
      <c r="K13" s="14" t="e">
        <f t="shared" si="5"/>
        <v>#DIV/0!</v>
      </c>
      <c r="L13" s="13"/>
      <c r="M13" s="13"/>
      <c r="N13" s="13"/>
      <c r="O13" s="13"/>
      <c r="P13" s="13">
        <v>1306.63</v>
      </c>
      <c r="Q13" s="13"/>
      <c r="R13" s="14">
        <f t="shared" si="6"/>
        <v>0</v>
      </c>
      <c r="S13" s="13"/>
      <c r="T13" s="13"/>
      <c r="U13" s="13"/>
      <c r="V13" s="13"/>
      <c r="W13" s="13"/>
      <c r="X13" s="13"/>
      <c r="Y13" s="64">
        <f t="shared" si="7"/>
        <v>0</v>
      </c>
      <c r="Z13" s="65"/>
      <c r="AA13" s="65"/>
      <c r="AB13" s="65"/>
      <c r="AC13" s="65"/>
      <c r="AD13" s="65">
        <f>AR13/AK13</f>
        <v>0</v>
      </c>
      <c r="AE13" s="65"/>
      <c r="AF13" s="14">
        <f>AK13</f>
        <v>1306.63</v>
      </c>
      <c r="AG13" s="13"/>
      <c r="AH13" s="13"/>
      <c r="AI13" s="13"/>
      <c r="AJ13" s="13"/>
      <c r="AK13" s="13">
        <v>1306.63</v>
      </c>
      <c r="AL13" s="13"/>
      <c r="AM13" s="14">
        <f t="shared" si="8"/>
        <v>0</v>
      </c>
      <c r="AN13" s="13"/>
      <c r="AO13" s="13"/>
      <c r="AP13" s="13"/>
      <c r="AQ13" s="13"/>
      <c r="AR13" s="13"/>
      <c r="AS13" s="13"/>
      <c r="AT13" s="14">
        <f t="shared" si="9"/>
        <v>0</v>
      </c>
      <c r="AU13" s="37"/>
      <c r="AV13" s="37"/>
      <c r="AW13" s="37"/>
      <c r="AX13" s="37"/>
      <c r="AY13" s="37">
        <f>(P13-AK13)*I13</f>
        <v>0</v>
      </c>
      <c r="AZ13" s="13"/>
    </row>
    <row r="14" spans="1:52" ht="37.5" customHeight="1">
      <c r="A14" s="38"/>
      <c r="B14" s="54" t="s">
        <v>23</v>
      </c>
      <c r="C14" s="40"/>
      <c r="D14" s="51">
        <f t="shared" si="4"/>
        <v>0</v>
      </c>
      <c r="E14" s="45"/>
      <c r="F14" s="52">
        <f>T14/M14</f>
        <v>0</v>
      </c>
      <c r="G14" s="45"/>
      <c r="H14" s="45"/>
      <c r="I14" s="45"/>
      <c r="J14" s="45"/>
      <c r="K14" s="14" t="e">
        <f t="shared" si="5"/>
        <v>#DIV/0!</v>
      </c>
      <c r="L14" s="13"/>
      <c r="M14" s="13">
        <v>1306.63</v>
      </c>
      <c r="N14" s="13"/>
      <c r="O14" s="13"/>
      <c r="P14" s="13"/>
      <c r="Q14" s="37"/>
      <c r="R14" s="15">
        <f t="shared" si="6"/>
        <v>0</v>
      </c>
      <c r="S14" s="13"/>
      <c r="T14" s="13"/>
      <c r="U14" s="13"/>
      <c r="V14" s="13"/>
      <c r="W14" s="13"/>
      <c r="X14" s="13"/>
      <c r="Y14" s="67">
        <f t="shared" si="7"/>
        <v>0</v>
      </c>
      <c r="Z14" s="97"/>
      <c r="AA14" s="97">
        <f>AO14/AH14</f>
        <v>0</v>
      </c>
      <c r="AB14" s="97"/>
      <c r="AC14" s="97"/>
      <c r="AD14" s="97"/>
      <c r="AE14" s="97"/>
      <c r="AF14" s="14">
        <f>AH14</f>
        <v>1306.63</v>
      </c>
      <c r="AG14" s="13"/>
      <c r="AH14" s="13">
        <v>1306.63</v>
      </c>
      <c r="AI14" s="13"/>
      <c r="AJ14" s="13"/>
      <c r="AK14" s="13"/>
      <c r="AL14" s="37"/>
      <c r="AM14" s="15">
        <f t="shared" si="8"/>
        <v>0</v>
      </c>
      <c r="AN14" s="13"/>
      <c r="AO14" s="13"/>
      <c r="AP14" s="13"/>
      <c r="AQ14" s="13"/>
      <c r="AR14" s="13"/>
      <c r="AS14" s="13"/>
      <c r="AT14" s="15">
        <f t="shared" si="9"/>
        <v>0</v>
      </c>
      <c r="AU14" s="37"/>
      <c r="AV14" s="37">
        <f>(M14-AH14)*F14</f>
        <v>0</v>
      </c>
      <c r="AW14" s="37"/>
      <c r="AX14" s="37"/>
      <c r="AY14" s="37"/>
      <c r="AZ14" s="13"/>
    </row>
    <row r="15" spans="1:52" ht="35.25" customHeight="1">
      <c r="A15" s="38"/>
      <c r="B15" s="39" t="s">
        <v>18</v>
      </c>
      <c r="C15" s="40"/>
      <c r="D15" s="75">
        <f t="shared" si="4"/>
        <v>1.4662758393730435</v>
      </c>
      <c r="E15" s="42"/>
      <c r="F15" s="42"/>
      <c r="G15" s="76">
        <f>U15/N15</f>
        <v>1.4662758393730435</v>
      </c>
      <c r="H15" s="42"/>
      <c r="I15" s="42"/>
      <c r="J15" s="42"/>
      <c r="K15" s="14">
        <f t="shared" si="5"/>
        <v>1306.63</v>
      </c>
      <c r="L15" s="13"/>
      <c r="M15" s="13"/>
      <c r="N15" s="13">
        <v>1306.63</v>
      </c>
      <c r="O15" s="13"/>
      <c r="P15" s="13"/>
      <c r="Q15" s="13"/>
      <c r="R15" s="14">
        <f t="shared" si="6"/>
        <v>1915.88</v>
      </c>
      <c r="S15" s="13"/>
      <c r="T15" s="13"/>
      <c r="U15" s="13">
        <v>1915.88</v>
      </c>
      <c r="V15" s="13"/>
      <c r="W15" s="13"/>
      <c r="X15" s="13"/>
      <c r="Y15" s="64">
        <f t="shared" si="7"/>
        <v>3.489671904058532</v>
      </c>
      <c r="Z15" s="65"/>
      <c r="AA15" s="65"/>
      <c r="AB15" s="65">
        <f>AP15/AI15</f>
        <v>3.489671904058532</v>
      </c>
      <c r="AC15" s="65"/>
      <c r="AD15" s="65"/>
      <c r="AE15" s="65"/>
      <c r="AF15" s="14">
        <f>AI15</f>
        <v>1306.63</v>
      </c>
      <c r="AG15" s="13"/>
      <c r="AH15" s="13"/>
      <c r="AI15" s="13">
        <v>1306.63</v>
      </c>
      <c r="AJ15" s="13"/>
      <c r="AK15" s="13"/>
      <c r="AL15" s="13"/>
      <c r="AM15" s="14">
        <f t="shared" si="8"/>
        <v>4559.71</v>
      </c>
      <c r="AN15" s="13"/>
      <c r="AO15" s="13"/>
      <c r="AP15" s="13">
        <v>4559.71</v>
      </c>
      <c r="AQ15" s="13"/>
      <c r="AR15" s="13"/>
      <c r="AS15" s="13"/>
      <c r="AT15" s="14">
        <f t="shared" si="9"/>
        <v>0</v>
      </c>
      <c r="AU15" s="37"/>
      <c r="AV15" s="37"/>
      <c r="AW15" s="37">
        <f>(N15-AI15)*G15</f>
        <v>0</v>
      </c>
      <c r="AX15" s="37"/>
      <c r="AY15" s="37"/>
      <c r="AZ15" s="13"/>
    </row>
    <row r="16" spans="1:52" ht="56.25" customHeight="1">
      <c r="A16" s="9"/>
      <c r="B16" s="43" t="s">
        <v>41</v>
      </c>
      <c r="C16" s="32"/>
      <c r="D16" s="44">
        <f t="shared" si="4"/>
        <v>0</v>
      </c>
      <c r="E16" s="45"/>
      <c r="F16" s="46">
        <f>T16/M16</f>
        <v>0</v>
      </c>
      <c r="G16" s="45"/>
      <c r="H16" s="45"/>
      <c r="I16" s="45"/>
      <c r="J16" s="45"/>
      <c r="K16" s="14" t="e">
        <f t="shared" si="5"/>
        <v>#DIV/0!</v>
      </c>
      <c r="L16" s="13"/>
      <c r="M16" s="13">
        <v>1306.63</v>
      </c>
      <c r="N16" s="13"/>
      <c r="O16" s="13"/>
      <c r="P16" s="13"/>
      <c r="Q16" s="37"/>
      <c r="R16" s="15">
        <f t="shared" si="6"/>
        <v>0</v>
      </c>
      <c r="S16" s="36"/>
      <c r="T16" s="36"/>
      <c r="U16" s="36"/>
      <c r="V16" s="36"/>
      <c r="W16" s="36"/>
      <c r="X16" s="36"/>
      <c r="Y16" s="67">
        <f t="shared" si="7"/>
        <v>0</v>
      </c>
      <c r="Z16" s="97"/>
      <c r="AA16" s="97">
        <f>AO16/AH16</f>
        <v>0</v>
      </c>
      <c r="AB16" s="97"/>
      <c r="AC16" s="97"/>
      <c r="AD16" s="97"/>
      <c r="AE16" s="97"/>
      <c r="AF16" s="14">
        <f>AH16</f>
        <v>1306.63</v>
      </c>
      <c r="AG16" s="13"/>
      <c r="AH16" s="13">
        <v>1306.63</v>
      </c>
      <c r="AI16" s="13"/>
      <c r="AJ16" s="13"/>
      <c r="AK16" s="13"/>
      <c r="AL16" s="37"/>
      <c r="AM16" s="15">
        <f t="shared" si="8"/>
        <v>0</v>
      </c>
      <c r="AN16" s="36"/>
      <c r="AO16" s="36"/>
      <c r="AP16" s="36"/>
      <c r="AQ16" s="36"/>
      <c r="AR16" s="36"/>
      <c r="AS16" s="13"/>
      <c r="AT16" s="15">
        <f t="shared" si="9"/>
        <v>0</v>
      </c>
      <c r="AU16" s="37"/>
      <c r="AV16" s="37">
        <f>(M16-AH16)*F16</f>
        <v>0</v>
      </c>
      <c r="AW16" s="37"/>
      <c r="AX16" s="37"/>
      <c r="AY16" s="37"/>
      <c r="AZ16" s="13"/>
    </row>
    <row r="17" spans="1:52" ht="58.5" customHeight="1">
      <c r="A17" s="38">
        <v>36</v>
      </c>
      <c r="B17" s="39" t="s">
        <v>37</v>
      </c>
      <c r="C17" s="106"/>
      <c r="D17" s="75">
        <f>SUM(E17:J17)</f>
        <v>0</v>
      </c>
      <c r="E17" s="42"/>
      <c r="F17" s="42"/>
      <c r="G17" s="76"/>
      <c r="H17" s="42"/>
      <c r="I17" s="107"/>
      <c r="J17" s="76">
        <f>X17/Q17</f>
        <v>0</v>
      </c>
      <c r="K17" s="14" t="e">
        <f t="shared" si="5"/>
        <v>#DIV/0!</v>
      </c>
      <c r="L17" s="13"/>
      <c r="M17" s="13"/>
      <c r="N17" s="13"/>
      <c r="O17" s="13"/>
      <c r="P17" s="109"/>
      <c r="Q17" s="109">
        <v>1200</v>
      </c>
      <c r="R17" s="14">
        <f>SUM(S17:X17)</f>
        <v>0</v>
      </c>
      <c r="S17" s="13"/>
      <c r="T17" s="13"/>
      <c r="U17" s="13"/>
      <c r="V17" s="13"/>
      <c r="W17" s="13"/>
      <c r="X17" s="13"/>
      <c r="Y17" s="64">
        <f>AE17</f>
        <v>0</v>
      </c>
      <c r="Z17" s="65"/>
      <c r="AA17" s="65"/>
      <c r="AB17" s="65"/>
      <c r="AC17" s="65"/>
      <c r="AD17" s="65"/>
      <c r="AE17" s="65">
        <f>AS17/AL17</f>
        <v>0</v>
      </c>
      <c r="AF17" s="14">
        <f>AL17</f>
        <v>1200</v>
      </c>
      <c r="AG17" s="13"/>
      <c r="AH17" s="13"/>
      <c r="AI17" s="13"/>
      <c r="AJ17" s="13"/>
      <c r="AK17" s="109"/>
      <c r="AL17" s="109">
        <v>1200</v>
      </c>
      <c r="AM17" s="14">
        <f>AS17</f>
        <v>0</v>
      </c>
      <c r="AN17" s="13"/>
      <c r="AO17" s="13"/>
      <c r="AP17" s="13"/>
      <c r="AQ17" s="13"/>
      <c r="AR17" s="13"/>
      <c r="AS17" s="13"/>
      <c r="AT17" s="14">
        <f>SUM(AU17:AZ17)</f>
        <v>0</v>
      </c>
      <c r="AU17" s="13"/>
      <c r="AV17" s="13"/>
      <c r="AW17" s="13"/>
      <c r="AX17" s="13"/>
      <c r="AY17" s="13"/>
      <c r="AZ17" s="37">
        <f>(Q17-AL17)*J17</f>
        <v>0</v>
      </c>
    </row>
    <row r="18" spans="1:52" ht="88.5" customHeight="1" thickBot="1">
      <c r="A18" s="30"/>
      <c r="B18" s="31" t="s">
        <v>38</v>
      </c>
      <c r="D18" s="75">
        <f>SUM(E18:J18)</f>
        <v>0</v>
      </c>
      <c r="E18" s="56"/>
      <c r="F18" s="56"/>
      <c r="G18" s="102"/>
      <c r="H18" s="56"/>
      <c r="I18" s="103"/>
      <c r="J18" s="76">
        <f>X18/Q18</f>
        <v>0</v>
      </c>
      <c r="K18" s="14" t="e">
        <f t="shared" si="5"/>
        <v>#DIV/0!</v>
      </c>
      <c r="L18" s="36"/>
      <c r="M18" s="36"/>
      <c r="N18" s="36"/>
      <c r="O18" s="36"/>
      <c r="P18" s="105"/>
      <c r="Q18" s="105">
        <v>1163.85</v>
      </c>
      <c r="R18" s="14">
        <f>SUM(S18:X18)</f>
        <v>0</v>
      </c>
      <c r="S18" s="36"/>
      <c r="T18" s="36"/>
      <c r="U18" s="36"/>
      <c r="V18" s="36"/>
      <c r="W18" s="36"/>
      <c r="X18" s="36"/>
      <c r="Y18" s="62">
        <f>AE18</f>
        <v>0</v>
      </c>
      <c r="Z18" s="34"/>
      <c r="AA18" s="34"/>
      <c r="AB18" s="34"/>
      <c r="AC18" s="34"/>
      <c r="AD18" s="34"/>
      <c r="AE18" s="65">
        <f>AS18/AL18</f>
        <v>0</v>
      </c>
      <c r="AF18" s="35">
        <f>AL18</f>
        <v>1163.85</v>
      </c>
      <c r="AG18" s="36"/>
      <c r="AH18" s="36"/>
      <c r="AI18" s="36"/>
      <c r="AJ18" s="36"/>
      <c r="AK18" s="105"/>
      <c r="AL18" s="105">
        <v>1163.85</v>
      </c>
      <c r="AM18" s="35">
        <f>AS18</f>
        <v>0</v>
      </c>
      <c r="AN18" s="36"/>
      <c r="AO18" s="36"/>
      <c r="AP18" s="36"/>
      <c r="AQ18" s="36"/>
      <c r="AR18" s="36"/>
      <c r="AS18" s="36"/>
      <c r="AT18" s="57">
        <f>SUM(AU18:AZ18)</f>
        <v>0</v>
      </c>
      <c r="AU18" s="50"/>
      <c r="AV18" s="50"/>
      <c r="AW18" s="50"/>
      <c r="AX18" s="50"/>
      <c r="AY18" s="50"/>
      <c r="AZ18" s="37">
        <f>(Q18-AL18)*J18</f>
        <v>0</v>
      </c>
    </row>
    <row r="19" spans="1:65" s="29" customFormat="1" ht="43.5" customHeight="1" thickBot="1">
      <c r="A19" s="23">
        <v>2</v>
      </c>
      <c r="B19" s="24" t="s">
        <v>0</v>
      </c>
      <c r="C19" s="58" t="s">
        <v>5</v>
      </c>
      <c r="D19" s="26">
        <f aca="true" t="shared" si="10" ref="D19:J19">SUM(D20:D26)</f>
        <v>17653.690944163336</v>
      </c>
      <c r="E19" s="59">
        <f t="shared" si="10"/>
        <v>605.2632</v>
      </c>
      <c r="F19" s="59">
        <f t="shared" si="10"/>
        <v>8850.17</v>
      </c>
      <c r="G19" s="59">
        <f t="shared" si="10"/>
        <v>3860.635</v>
      </c>
      <c r="H19" s="59">
        <f t="shared" si="10"/>
        <v>0</v>
      </c>
      <c r="I19" s="59">
        <f t="shared" si="10"/>
        <v>4197.322744163337</v>
      </c>
      <c r="J19" s="59">
        <f t="shared" si="10"/>
        <v>140.3</v>
      </c>
      <c r="K19" s="27">
        <f t="shared" si="5"/>
        <v>98.69806464330722</v>
      </c>
      <c r="L19" s="61">
        <f>L22</f>
        <v>91.02</v>
      </c>
      <c r="M19" s="27">
        <f>T19/F19</f>
        <v>102.3577829578415</v>
      </c>
      <c r="N19" s="27">
        <f>U19/G19</f>
        <v>94.96516764729118</v>
      </c>
      <c r="O19" s="27">
        <f>O22</f>
        <v>90.44</v>
      </c>
      <c r="P19" s="27">
        <f>W19/I19</f>
        <v>95.7246975012138</v>
      </c>
      <c r="Q19" s="27">
        <f>Q26</f>
        <v>92.65</v>
      </c>
      <c r="R19" s="27">
        <f aca="true" t="shared" si="11" ref="R19:AE19">SUM(R20:R26)</f>
        <v>1742385.1300000001</v>
      </c>
      <c r="S19" s="27">
        <f t="shared" si="11"/>
        <v>55088.46</v>
      </c>
      <c r="T19" s="27">
        <f t="shared" si="11"/>
        <v>905883.78</v>
      </c>
      <c r="U19" s="27">
        <f t="shared" si="11"/>
        <v>366625.85000000003</v>
      </c>
      <c r="V19" s="27">
        <f t="shared" si="11"/>
        <v>0</v>
      </c>
      <c r="W19" s="27">
        <f t="shared" si="11"/>
        <v>401787.45</v>
      </c>
      <c r="X19" s="27">
        <f t="shared" si="11"/>
        <v>12999.59</v>
      </c>
      <c r="Y19" s="59">
        <f t="shared" si="11"/>
        <v>17612.66539291375</v>
      </c>
      <c r="Z19" s="59">
        <f t="shared" si="11"/>
        <v>605.2631578947368</v>
      </c>
      <c r="AA19" s="59">
        <f t="shared" si="11"/>
        <v>8850.185768574871</v>
      </c>
      <c r="AB19" s="59">
        <f t="shared" si="11"/>
        <v>3858.3950670783074</v>
      </c>
      <c r="AC19" s="59">
        <f t="shared" si="11"/>
        <v>1.6426360017691288</v>
      </c>
      <c r="AD19" s="59">
        <f t="shared" si="11"/>
        <v>4156.878849701212</v>
      </c>
      <c r="AE19" s="59">
        <f t="shared" si="11"/>
        <v>140.29991366285344</v>
      </c>
      <c r="AF19" s="28">
        <f>AM19/Y19</f>
        <v>98.24634326478478</v>
      </c>
      <c r="AG19" s="101">
        <f>AG22</f>
        <v>91.01</v>
      </c>
      <c r="AH19" s="101">
        <f>AO19/AA19</f>
        <v>102.36297448317634</v>
      </c>
      <c r="AI19" s="101">
        <f>AP19/AB19</f>
        <v>94.96459891481702</v>
      </c>
      <c r="AJ19" s="101">
        <f>AJ22</f>
        <v>90.44</v>
      </c>
      <c r="AK19" s="27">
        <f>AR19/AD19</f>
        <v>93.77322604146097</v>
      </c>
      <c r="AL19" s="27">
        <f>AL26</f>
        <v>92.66</v>
      </c>
      <c r="AM19" s="27">
        <f aca="true" t="shared" si="12" ref="AM19:AZ19">SUM(AM20:AM26)</f>
        <v>1730379.9699999997</v>
      </c>
      <c r="AN19" s="27">
        <f t="shared" si="12"/>
        <v>55085</v>
      </c>
      <c r="AO19" s="27">
        <f t="shared" si="12"/>
        <v>905931.34</v>
      </c>
      <c r="AP19" s="27">
        <f t="shared" si="12"/>
        <v>366410.93999999994</v>
      </c>
      <c r="AQ19" s="27">
        <f t="shared" si="12"/>
        <v>148.56</v>
      </c>
      <c r="AR19" s="27">
        <f t="shared" si="12"/>
        <v>389803.94</v>
      </c>
      <c r="AS19" s="27">
        <f t="shared" si="12"/>
        <v>13000.19</v>
      </c>
      <c r="AT19" s="118">
        <f t="shared" si="12"/>
        <v>8178.604530000016</v>
      </c>
      <c r="AU19" s="27">
        <f t="shared" si="12"/>
        <v>6.052631999994495</v>
      </c>
      <c r="AV19" s="27">
        <f t="shared" si="12"/>
        <v>0</v>
      </c>
      <c r="AW19" s="27">
        <f t="shared" si="12"/>
        <v>2.6863900000013743</v>
      </c>
      <c r="AX19" s="27">
        <f t="shared" si="12"/>
        <v>0</v>
      </c>
      <c r="AY19" s="27">
        <f t="shared" si="12"/>
        <v>8171.268508000018</v>
      </c>
      <c r="AZ19" s="27">
        <f t="shared" si="12"/>
        <v>-1.4029999999987242</v>
      </c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</row>
    <row r="20" spans="1:52" s="4" customFormat="1" ht="41.25" customHeight="1">
      <c r="A20" s="70"/>
      <c r="B20" s="47" t="s">
        <v>24</v>
      </c>
      <c r="C20" s="47"/>
      <c r="D20" s="64">
        <f aca="true" t="shared" si="13" ref="D20:D25">SUM(E20:I20)</f>
        <v>268.639</v>
      </c>
      <c r="E20" s="69"/>
      <c r="F20" s="69"/>
      <c r="G20" s="69">
        <v>268.639</v>
      </c>
      <c r="H20" s="69"/>
      <c r="I20" s="69"/>
      <c r="J20" s="34"/>
      <c r="K20" s="14">
        <f t="shared" si="5"/>
        <v>104.38339183811732</v>
      </c>
      <c r="L20" s="50"/>
      <c r="M20" s="73"/>
      <c r="N20" s="142">
        <v>104.39</v>
      </c>
      <c r="O20" s="50"/>
      <c r="P20" s="50"/>
      <c r="Q20" s="50"/>
      <c r="R20" s="63">
        <f aca="true" t="shared" si="14" ref="R20:R25">SUM(S20:W20)</f>
        <v>28041.45</v>
      </c>
      <c r="S20" s="50"/>
      <c r="T20" s="50"/>
      <c r="U20" s="50">
        <v>28041.45</v>
      </c>
      <c r="V20" s="73"/>
      <c r="W20" s="73"/>
      <c r="X20" s="73"/>
      <c r="Y20" s="100">
        <f aca="true" t="shared" si="15" ref="Y20:Y25">SUM(Z20:AD20)</f>
        <v>268.63843648208467</v>
      </c>
      <c r="Z20" s="98"/>
      <c r="AA20" s="98"/>
      <c r="AB20" s="98">
        <f>AP20/AI20</f>
        <v>268.63843648208467</v>
      </c>
      <c r="AC20" s="98"/>
      <c r="AD20" s="98"/>
      <c r="AE20" s="98"/>
      <c r="AF20" s="63">
        <f>AI20</f>
        <v>104.38</v>
      </c>
      <c r="AG20" s="73"/>
      <c r="AH20" s="73"/>
      <c r="AI20" s="73">
        <v>104.38</v>
      </c>
      <c r="AJ20" s="73"/>
      <c r="AK20" s="73"/>
      <c r="AL20" s="73"/>
      <c r="AM20" s="63">
        <f aca="true" t="shared" si="16" ref="AM20:AM25">SUM(AN20:AR20)</f>
        <v>28040.48</v>
      </c>
      <c r="AN20" s="73"/>
      <c r="AO20" s="73"/>
      <c r="AP20" s="73">
        <v>28040.48</v>
      </c>
      <c r="AQ20" s="73"/>
      <c r="AR20" s="73"/>
      <c r="AS20" s="73"/>
      <c r="AT20" s="63">
        <f aca="true" t="shared" si="17" ref="AT20:AT25">SUM(AU20:AY20)</f>
        <v>2.6863900000013743</v>
      </c>
      <c r="AU20" s="73"/>
      <c r="AV20" s="73"/>
      <c r="AW20" s="37">
        <f>(N20-AI20)*G20</f>
        <v>2.6863900000013743</v>
      </c>
      <c r="AX20" s="73"/>
      <c r="AY20" s="73"/>
      <c r="AZ20" s="73"/>
    </row>
    <row r="21" spans="1:52" s="4" customFormat="1" ht="58.5" customHeight="1">
      <c r="A21" s="66"/>
      <c r="B21" s="55" t="s">
        <v>43</v>
      </c>
      <c r="C21" s="47"/>
      <c r="D21" s="62">
        <f t="shared" si="13"/>
        <v>120.837</v>
      </c>
      <c r="E21" s="68"/>
      <c r="F21" s="69">
        <v>120.837</v>
      </c>
      <c r="G21" s="69"/>
      <c r="H21" s="69"/>
      <c r="I21" s="69"/>
      <c r="J21" s="69"/>
      <c r="K21" s="57">
        <f t="shared" si="5"/>
        <v>83.74678285624435</v>
      </c>
      <c r="L21" s="50"/>
      <c r="M21" s="36">
        <v>83.75</v>
      </c>
      <c r="N21" s="50"/>
      <c r="O21" s="50"/>
      <c r="P21" s="50"/>
      <c r="Q21" s="50"/>
      <c r="R21" s="35">
        <f t="shared" si="14"/>
        <v>10119.71</v>
      </c>
      <c r="S21" s="50"/>
      <c r="T21" s="50">
        <v>10119.71</v>
      </c>
      <c r="U21" s="50"/>
      <c r="V21" s="36"/>
      <c r="W21" s="36"/>
      <c r="X21" s="36"/>
      <c r="Y21" s="62">
        <f t="shared" si="15"/>
        <v>120.83737313432835</v>
      </c>
      <c r="Z21" s="34"/>
      <c r="AA21" s="34">
        <f>AO21/AH21</f>
        <v>120.83737313432835</v>
      </c>
      <c r="AB21" s="34"/>
      <c r="AC21" s="34"/>
      <c r="AD21" s="34"/>
      <c r="AE21" s="34"/>
      <c r="AF21" s="14">
        <f>AH21</f>
        <v>83.75</v>
      </c>
      <c r="AG21" s="36"/>
      <c r="AH21" s="36">
        <v>83.75</v>
      </c>
      <c r="AI21" s="36"/>
      <c r="AJ21" s="36"/>
      <c r="AK21" s="36"/>
      <c r="AL21" s="36"/>
      <c r="AM21" s="35">
        <f t="shared" si="16"/>
        <v>10120.13</v>
      </c>
      <c r="AN21" s="36"/>
      <c r="AO21" s="36">
        <v>10120.13</v>
      </c>
      <c r="AP21" s="36"/>
      <c r="AQ21" s="36"/>
      <c r="AR21" s="36"/>
      <c r="AS21" s="36"/>
      <c r="AT21" s="35">
        <f t="shared" si="17"/>
        <v>0</v>
      </c>
      <c r="AU21" s="13"/>
      <c r="AV21" s="13">
        <f>(M21-AH21)*F21</f>
        <v>0</v>
      </c>
      <c r="AW21" s="13"/>
      <c r="AX21" s="13"/>
      <c r="AY21" s="13"/>
      <c r="AZ21" s="36"/>
    </row>
    <row r="22" spans="1:52" ht="40.5" customHeight="1">
      <c r="A22" s="9"/>
      <c r="B22" s="39" t="s">
        <v>35</v>
      </c>
      <c r="C22" s="40"/>
      <c r="D22" s="64">
        <f t="shared" si="13"/>
        <v>7905.8234</v>
      </c>
      <c r="E22" s="65">
        <v>605.2632</v>
      </c>
      <c r="F22" s="65">
        <f>T22/M22</f>
        <v>0</v>
      </c>
      <c r="G22" s="65">
        <v>3591.996</v>
      </c>
      <c r="H22" s="65">
        <f>V22/O22</f>
        <v>0</v>
      </c>
      <c r="I22" s="65">
        <v>3708.5642</v>
      </c>
      <c r="J22" s="65"/>
      <c r="K22" s="14">
        <f t="shared" si="5"/>
        <v>95.04555717751046</v>
      </c>
      <c r="L22" s="14">
        <v>91.02</v>
      </c>
      <c r="M22" s="13">
        <v>94.26</v>
      </c>
      <c r="N22" s="13">
        <f>M22</f>
        <v>94.26</v>
      </c>
      <c r="O22" s="13">
        <v>90.44</v>
      </c>
      <c r="P22" s="130">
        <f>W22/I22</f>
        <v>96.463350964775</v>
      </c>
      <c r="Q22" s="13"/>
      <c r="R22" s="14">
        <f t="shared" si="14"/>
        <v>751413.3900000001</v>
      </c>
      <c r="S22" s="13">
        <v>55088.46</v>
      </c>
      <c r="T22" s="13"/>
      <c r="U22" s="13">
        <v>338584.4</v>
      </c>
      <c r="V22" s="13"/>
      <c r="W22" s="13">
        <v>357740.53</v>
      </c>
      <c r="X22" s="13"/>
      <c r="Y22" s="64">
        <f t="shared" si="15"/>
        <v>7864.7827300306035</v>
      </c>
      <c r="Z22" s="65">
        <f>AN22/AG22</f>
        <v>605.2631578947368</v>
      </c>
      <c r="AA22" s="65">
        <f>AO22/AH22</f>
        <v>0</v>
      </c>
      <c r="AB22" s="65">
        <f>AP22/AI22</f>
        <v>3589.7566305962227</v>
      </c>
      <c r="AC22" s="65">
        <f>AQ22/AJ22</f>
        <v>1.6426360017691288</v>
      </c>
      <c r="AD22" s="65">
        <f>AR22/AK22</f>
        <v>3668.120305537874</v>
      </c>
      <c r="AE22" s="65"/>
      <c r="AF22" s="14">
        <f>AM22/Y22</f>
        <v>94.00908650366786</v>
      </c>
      <c r="AG22" s="13">
        <v>91.01</v>
      </c>
      <c r="AH22" s="13">
        <v>94.26</v>
      </c>
      <c r="AI22" s="13">
        <f>AH22</f>
        <v>94.26</v>
      </c>
      <c r="AJ22" s="13">
        <v>90.44</v>
      </c>
      <c r="AK22" s="13">
        <f>AH22</f>
        <v>94.26</v>
      </c>
      <c r="AL22" s="13"/>
      <c r="AM22" s="14">
        <f t="shared" si="16"/>
        <v>739361.04</v>
      </c>
      <c r="AN22" s="13">
        <f>55085</f>
        <v>55085</v>
      </c>
      <c r="AO22" s="13"/>
      <c r="AP22" s="13">
        <f>-211.08+338581.54</f>
        <v>338370.45999999996</v>
      </c>
      <c r="AQ22" s="13">
        <f>148.56</f>
        <v>148.56</v>
      </c>
      <c r="AR22" s="13">
        <f>344719+1038.02</f>
        <v>345757.02</v>
      </c>
      <c r="AS22" s="13"/>
      <c r="AT22" s="14">
        <f t="shared" si="17"/>
        <v>8177.321140000013</v>
      </c>
      <c r="AU22" s="37">
        <f>(L22-AG22)*E22</f>
        <v>6.052631999994495</v>
      </c>
      <c r="AV22" s="37">
        <f>(M22-AH22)*F22</f>
        <v>0</v>
      </c>
      <c r="AW22" s="37">
        <f>(N22-AI22)*G22</f>
        <v>0</v>
      </c>
      <c r="AX22" s="37">
        <f>(O22-AJ22)*H22</f>
        <v>0</v>
      </c>
      <c r="AY22" s="37">
        <f>(P22-AK22)*I22</f>
        <v>8171.268508000018</v>
      </c>
      <c r="AZ22" s="13"/>
    </row>
    <row r="23" spans="1:52" s="4" customFormat="1" ht="42" customHeight="1">
      <c r="A23" s="66"/>
      <c r="B23" s="39" t="s">
        <v>23</v>
      </c>
      <c r="C23" s="39"/>
      <c r="D23" s="64">
        <f t="shared" si="13"/>
        <v>496.023</v>
      </c>
      <c r="E23" s="65"/>
      <c r="F23" s="65">
        <v>496.023</v>
      </c>
      <c r="G23" s="65"/>
      <c r="H23" s="65"/>
      <c r="I23" s="65"/>
      <c r="J23" s="65"/>
      <c r="K23" s="14">
        <f aca="true" t="shared" si="18" ref="K23:K46">R23/D23</f>
        <v>90.68010959169231</v>
      </c>
      <c r="L23" s="13"/>
      <c r="M23" s="13">
        <v>90.68</v>
      </c>
      <c r="N23" s="13"/>
      <c r="O23" s="13"/>
      <c r="P23" s="13"/>
      <c r="Q23" s="13"/>
      <c r="R23" s="14">
        <f t="shared" si="14"/>
        <v>44979.42</v>
      </c>
      <c r="S23" s="13"/>
      <c r="T23" s="13">
        <v>44979.42</v>
      </c>
      <c r="U23" s="13"/>
      <c r="V23" s="13"/>
      <c r="W23" s="13"/>
      <c r="X23" s="13"/>
      <c r="Y23" s="64">
        <f t="shared" si="15"/>
        <v>496.0231583590648</v>
      </c>
      <c r="Z23" s="65"/>
      <c r="AA23" s="65">
        <f>AO23/AH23</f>
        <v>496.0231583590648</v>
      </c>
      <c r="AB23" s="65"/>
      <c r="AC23" s="65"/>
      <c r="AD23" s="65"/>
      <c r="AE23" s="65"/>
      <c r="AF23" s="15">
        <f>AH23</f>
        <v>90.68</v>
      </c>
      <c r="AG23" s="13"/>
      <c r="AH23" s="13">
        <v>90.68</v>
      </c>
      <c r="AI23" s="13"/>
      <c r="AJ23" s="13"/>
      <c r="AK23" s="13"/>
      <c r="AL23" s="13"/>
      <c r="AM23" s="14">
        <f t="shared" si="16"/>
        <v>44979.38</v>
      </c>
      <c r="AN23" s="13"/>
      <c r="AO23" s="13">
        <f>44979.38</f>
        <v>44979.38</v>
      </c>
      <c r="AP23" s="13"/>
      <c r="AQ23" s="13"/>
      <c r="AR23" s="13"/>
      <c r="AS23" s="13"/>
      <c r="AT23" s="14">
        <f t="shared" si="17"/>
        <v>0</v>
      </c>
      <c r="AU23" s="13"/>
      <c r="AV23" s="37">
        <f>(M23-AH23)*F23</f>
        <v>0</v>
      </c>
      <c r="AW23" s="13"/>
      <c r="AX23" s="13"/>
      <c r="AY23" s="13"/>
      <c r="AZ23" s="13"/>
    </row>
    <row r="24" spans="1:52" s="4" customFormat="1" ht="57" customHeight="1">
      <c r="A24" s="66"/>
      <c r="B24" s="43" t="s">
        <v>41</v>
      </c>
      <c r="C24" s="43"/>
      <c r="D24" s="67">
        <f t="shared" si="13"/>
        <v>8233.31</v>
      </c>
      <c r="E24" s="34"/>
      <c r="F24" s="97">
        <v>8233.31</v>
      </c>
      <c r="G24" s="34"/>
      <c r="H24" s="34"/>
      <c r="I24" s="97"/>
      <c r="J24" s="97"/>
      <c r="K24" s="15">
        <f t="shared" si="18"/>
        <v>103.33446086689315</v>
      </c>
      <c r="L24" s="37"/>
      <c r="M24" s="139">
        <v>103.34</v>
      </c>
      <c r="N24" s="37"/>
      <c r="O24" s="37"/>
      <c r="P24" s="37"/>
      <c r="Q24" s="37"/>
      <c r="R24" s="15">
        <f t="shared" si="14"/>
        <v>850784.65</v>
      </c>
      <c r="S24" s="37"/>
      <c r="T24" s="37">
        <v>850784.65</v>
      </c>
      <c r="U24" s="37"/>
      <c r="V24" s="37"/>
      <c r="W24" s="37"/>
      <c r="X24" s="37"/>
      <c r="Y24" s="67">
        <f t="shared" si="15"/>
        <v>8233.325237081477</v>
      </c>
      <c r="Z24" s="97"/>
      <c r="AA24" s="97">
        <f>AO24/AH24</f>
        <v>8233.325237081477</v>
      </c>
      <c r="AB24" s="97"/>
      <c r="AC24" s="97"/>
      <c r="AD24" s="97"/>
      <c r="AE24" s="97"/>
      <c r="AF24" s="15">
        <f>AH24</f>
        <v>103.34</v>
      </c>
      <c r="AG24" s="37"/>
      <c r="AH24" s="37">
        <v>103.34</v>
      </c>
      <c r="AI24" s="37"/>
      <c r="AJ24" s="37"/>
      <c r="AK24" s="37"/>
      <c r="AL24" s="37"/>
      <c r="AM24" s="15">
        <f t="shared" si="16"/>
        <v>850831.83</v>
      </c>
      <c r="AN24" s="37"/>
      <c r="AO24" s="36">
        <f>850831.83</f>
        <v>850831.83</v>
      </c>
      <c r="AP24" s="37"/>
      <c r="AQ24" s="37"/>
      <c r="AR24" s="37"/>
      <c r="AS24" s="37"/>
      <c r="AT24" s="15">
        <f t="shared" si="17"/>
        <v>0</v>
      </c>
      <c r="AU24" s="37"/>
      <c r="AV24" s="37">
        <f>(M24-AH24)*F24</f>
        <v>0</v>
      </c>
      <c r="AW24" s="37"/>
      <c r="AX24" s="37"/>
      <c r="AY24" s="37"/>
      <c r="AZ24" s="37"/>
    </row>
    <row r="25" spans="1:52" ht="65.25" customHeight="1">
      <c r="A25" s="9"/>
      <c r="B25" s="39" t="s">
        <v>42</v>
      </c>
      <c r="C25" s="40"/>
      <c r="D25" s="64">
        <f t="shared" si="13"/>
        <v>488.7585441633377</v>
      </c>
      <c r="E25" s="65"/>
      <c r="F25" s="65"/>
      <c r="G25" s="65"/>
      <c r="H25" s="65"/>
      <c r="I25" s="65">
        <f>W25/P25</f>
        <v>488.7585441633377</v>
      </c>
      <c r="J25" s="65"/>
      <c r="K25" s="14">
        <f t="shared" si="18"/>
        <v>90.12</v>
      </c>
      <c r="L25" s="13"/>
      <c r="M25" s="13"/>
      <c r="N25" s="13"/>
      <c r="O25" s="13"/>
      <c r="P25" s="13">
        <v>90.12</v>
      </c>
      <c r="Q25" s="13"/>
      <c r="R25" s="14">
        <f t="shared" si="14"/>
        <v>44046.92</v>
      </c>
      <c r="S25" s="13"/>
      <c r="T25" s="13"/>
      <c r="U25" s="13"/>
      <c r="V25" s="13"/>
      <c r="W25" s="13">
        <v>44046.92</v>
      </c>
      <c r="X25" s="13"/>
      <c r="Y25" s="64">
        <f t="shared" si="15"/>
        <v>488.7585441633377</v>
      </c>
      <c r="Z25" s="65"/>
      <c r="AA25" s="65"/>
      <c r="AB25" s="65"/>
      <c r="AC25" s="65"/>
      <c r="AD25" s="65">
        <f>AR25/AK25</f>
        <v>488.7585441633377</v>
      </c>
      <c r="AE25" s="65"/>
      <c r="AF25" s="14">
        <f>AK25</f>
        <v>90.12</v>
      </c>
      <c r="AG25" s="13"/>
      <c r="AH25" s="13"/>
      <c r="AI25" s="13"/>
      <c r="AJ25" s="13"/>
      <c r="AK25" s="37">
        <v>90.12</v>
      </c>
      <c r="AL25" s="13"/>
      <c r="AM25" s="14">
        <f t="shared" si="16"/>
        <v>44046.92</v>
      </c>
      <c r="AN25" s="13"/>
      <c r="AO25" s="13"/>
      <c r="AP25" s="13"/>
      <c r="AQ25" s="13"/>
      <c r="AR25" s="13">
        <v>44046.92</v>
      </c>
      <c r="AS25" s="13"/>
      <c r="AT25" s="14">
        <f t="shared" si="17"/>
        <v>0</v>
      </c>
      <c r="AU25" s="37"/>
      <c r="AV25" s="37"/>
      <c r="AW25" s="37"/>
      <c r="AX25" s="37"/>
      <c r="AY25" s="37">
        <f>(P25-AK25)*I25</f>
        <v>0</v>
      </c>
      <c r="AZ25" s="13"/>
    </row>
    <row r="26" spans="1:52" ht="58.5" customHeight="1" thickBot="1">
      <c r="A26" s="38">
        <v>36</v>
      </c>
      <c r="B26" s="39" t="s">
        <v>37</v>
      </c>
      <c r="C26" s="106"/>
      <c r="D26" s="62">
        <f>SUM(E26:J26)</f>
        <v>140.3</v>
      </c>
      <c r="E26" s="42"/>
      <c r="F26" s="42"/>
      <c r="G26" s="76"/>
      <c r="H26" s="42"/>
      <c r="I26" s="107"/>
      <c r="J26" s="69">
        <v>140.3</v>
      </c>
      <c r="K26" s="35">
        <f t="shared" si="18"/>
        <v>92.65566642908054</v>
      </c>
      <c r="L26" s="108"/>
      <c r="M26" s="13"/>
      <c r="N26" s="13"/>
      <c r="O26" s="13"/>
      <c r="P26" s="13"/>
      <c r="Q26" s="130">
        <v>92.65</v>
      </c>
      <c r="R26" s="57">
        <f>SUM(S26:X26)</f>
        <v>12999.59</v>
      </c>
      <c r="S26" s="13"/>
      <c r="T26" s="13"/>
      <c r="U26" s="13"/>
      <c r="V26" s="13"/>
      <c r="W26" s="13"/>
      <c r="X26" s="13">
        <v>12999.59</v>
      </c>
      <c r="Y26" s="64">
        <f>AE26</f>
        <v>140.29991366285344</v>
      </c>
      <c r="Z26" s="65"/>
      <c r="AA26" s="65"/>
      <c r="AB26" s="65"/>
      <c r="AC26" s="65"/>
      <c r="AD26" s="65"/>
      <c r="AE26" s="65">
        <f>AS26/AL26</f>
        <v>140.29991366285344</v>
      </c>
      <c r="AF26" s="14">
        <f>AL26</f>
        <v>92.66</v>
      </c>
      <c r="AG26" s="13"/>
      <c r="AH26" s="13"/>
      <c r="AI26" s="13"/>
      <c r="AJ26" s="13"/>
      <c r="AK26" s="109"/>
      <c r="AL26" s="109">
        <v>92.66</v>
      </c>
      <c r="AM26" s="14">
        <f>AS26</f>
        <v>13000.19</v>
      </c>
      <c r="AN26" s="13"/>
      <c r="AO26" s="13"/>
      <c r="AP26" s="13"/>
      <c r="AQ26" s="13"/>
      <c r="AR26" s="13"/>
      <c r="AS26" s="13">
        <v>13000.19</v>
      </c>
      <c r="AT26" s="57">
        <f>SUM(AU26:AZ26)</f>
        <v>-1.4029999999987242</v>
      </c>
      <c r="AU26" s="36"/>
      <c r="AV26" s="36"/>
      <c r="AW26" s="36"/>
      <c r="AX26" s="36"/>
      <c r="AY26" s="36"/>
      <c r="AZ26" s="37">
        <f>(Q26-AL26)*J26</f>
        <v>-1.4029999999987242</v>
      </c>
    </row>
    <row r="27" spans="1:65" s="29" customFormat="1" ht="43.5" customHeight="1" thickBot="1">
      <c r="A27" s="23">
        <v>3</v>
      </c>
      <c r="B27" s="24" t="s">
        <v>1</v>
      </c>
      <c r="C27" s="24" t="s">
        <v>5</v>
      </c>
      <c r="D27" s="71">
        <f aca="true" t="shared" si="19" ref="D27:J27">SUM(D28:D36)</f>
        <v>74710.54768730966</v>
      </c>
      <c r="E27" s="71">
        <f t="shared" si="19"/>
        <v>9131.13980787704</v>
      </c>
      <c r="F27" s="71">
        <f t="shared" si="19"/>
        <v>30285.470999999998</v>
      </c>
      <c r="G27" s="71">
        <f t="shared" si="19"/>
        <v>15193.010212765957</v>
      </c>
      <c r="H27" s="71">
        <f t="shared" si="19"/>
        <v>10353.4</v>
      </c>
      <c r="I27" s="71">
        <f t="shared" si="19"/>
        <v>8787.396666666667</v>
      </c>
      <c r="J27" s="71">
        <f t="shared" si="19"/>
        <v>960.13</v>
      </c>
      <c r="K27" s="28">
        <f t="shared" si="18"/>
        <v>21.001903460366698</v>
      </c>
      <c r="L27" s="28">
        <f>S27/E27</f>
        <v>20.675816379148614</v>
      </c>
      <c r="M27" s="28">
        <f>T27/F27</f>
        <v>21.55614882132756</v>
      </c>
      <c r="N27" s="28">
        <f>U27/G27</f>
        <v>21.03660930415538</v>
      </c>
      <c r="O27" s="28">
        <f>O32</f>
        <v>20.91</v>
      </c>
      <c r="P27" s="28">
        <f>W27/I27</f>
        <v>19.64410695772999</v>
      </c>
      <c r="Q27" s="28">
        <f>Q33</f>
        <v>19.49</v>
      </c>
      <c r="R27" s="28">
        <f aca="true" t="shared" si="20" ref="R27:AE27">SUM(R28:R36)</f>
        <v>1569063.71</v>
      </c>
      <c r="S27" s="28">
        <f t="shared" si="20"/>
        <v>188793.77000000002</v>
      </c>
      <c r="T27" s="28">
        <f t="shared" si="20"/>
        <v>652838.12</v>
      </c>
      <c r="U27" s="28">
        <f t="shared" si="20"/>
        <v>319609.42000000004</v>
      </c>
      <c r="V27" s="28">
        <f t="shared" si="20"/>
        <v>216485.45</v>
      </c>
      <c r="W27" s="28">
        <f t="shared" si="20"/>
        <v>172620.56</v>
      </c>
      <c r="X27" s="28">
        <f t="shared" si="20"/>
        <v>18716.39</v>
      </c>
      <c r="Y27" s="60">
        <f t="shared" si="20"/>
        <v>74491.58161375747</v>
      </c>
      <c r="Z27" s="60">
        <f t="shared" si="20"/>
        <v>9001.183839224592</v>
      </c>
      <c r="AA27" s="60">
        <f t="shared" si="20"/>
        <v>30372.710192468938</v>
      </c>
      <c r="AB27" s="60">
        <f t="shared" si="20"/>
        <v>15195.429412243817</v>
      </c>
      <c r="AC27" s="60">
        <f t="shared" si="20"/>
        <v>10372.125777140123</v>
      </c>
      <c r="AD27" s="60">
        <f t="shared" si="20"/>
        <v>8590.00001710279</v>
      </c>
      <c r="AE27" s="60">
        <f t="shared" si="20"/>
        <v>960.1323755772191</v>
      </c>
      <c r="AF27" s="28">
        <f>AM27/Y27</f>
        <v>21.847018209899847</v>
      </c>
      <c r="AG27" s="101">
        <f>AN27/Z27</f>
        <v>20.67230303520048</v>
      </c>
      <c r="AH27" s="101">
        <f>AO27/AA27</f>
        <v>23.621469584162917</v>
      </c>
      <c r="AI27" s="101">
        <f>AP27/AB27</f>
        <v>21.02979266532047</v>
      </c>
      <c r="AJ27" s="101">
        <f>AJ32</f>
        <v>20.91</v>
      </c>
      <c r="AK27" s="27">
        <f>AR27/AD27</f>
        <v>19.644334070317473</v>
      </c>
      <c r="AL27" s="101">
        <f>AL33</f>
        <v>19.49</v>
      </c>
      <c r="AM27" s="101">
        <f aca="true" t="shared" si="21" ref="AM27:AZ27">SUM(AM28:AM36)</f>
        <v>1627418.9400000002</v>
      </c>
      <c r="AN27" s="119">
        <f t="shared" si="21"/>
        <v>186075.2</v>
      </c>
      <c r="AO27" s="119">
        <f t="shared" si="21"/>
        <v>717448.05</v>
      </c>
      <c r="AP27" s="119">
        <f t="shared" si="21"/>
        <v>319556.73</v>
      </c>
      <c r="AQ27" s="119">
        <f t="shared" si="21"/>
        <v>216881.15</v>
      </c>
      <c r="AR27" s="119">
        <f t="shared" si="21"/>
        <v>168744.83000000002</v>
      </c>
      <c r="AS27" s="119">
        <f t="shared" si="21"/>
        <v>18712.98</v>
      </c>
      <c r="AT27" s="118">
        <f t="shared" si="21"/>
        <v>-62479.40919999999</v>
      </c>
      <c r="AU27" s="28">
        <f t="shared" si="21"/>
        <v>0</v>
      </c>
      <c r="AV27" s="28">
        <f t="shared" si="21"/>
        <v>-62479.40919999999</v>
      </c>
      <c r="AW27" s="28">
        <f t="shared" si="21"/>
        <v>0</v>
      </c>
      <c r="AX27" s="28">
        <f t="shared" si="21"/>
        <v>0</v>
      </c>
      <c r="AY27" s="28">
        <f t="shared" si="21"/>
        <v>0</v>
      </c>
      <c r="AZ27" s="28">
        <f t="shared" si="21"/>
        <v>0</v>
      </c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</row>
    <row r="28" spans="1:52" ht="51" customHeight="1">
      <c r="A28" s="74"/>
      <c r="B28" s="47" t="s">
        <v>20</v>
      </c>
      <c r="C28" s="32"/>
      <c r="D28" s="75">
        <f aca="true" t="shared" si="22" ref="D28:D36">SUM(E28:J28)</f>
        <v>138.1998078770413</v>
      </c>
      <c r="E28" s="76">
        <f>S28/L28</f>
        <v>138.1998078770413</v>
      </c>
      <c r="F28" s="76"/>
      <c r="G28" s="76"/>
      <c r="H28" s="76"/>
      <c r="I28" s="76"/>
      <c r="J28" s="76"/>
      <c r="K28" s="14">
        <f t="shared" si="18"/>
        <v>20.82</v>
      </c>
      <c r="L28" s="37">
        <v>20.82</v>
      </c>
      <c r="M28" s="36"/>
      <c r="N28" s="36"/>
      <c r="O28" s="37"/>
      <c r="P28" s="37"/>
      <c r="Q28" s="37"/>
      <c r="R28" s="14">
        <f aca="true" t="shared" si="23" ref="R28:R36">SUM(S28:X28)</f>
        <v>2877.32</v>
      </c>
      <c r="S28" s="50">
        <v>2877.32</v>
      </c>
      <c r="T28" s="36"/>
      <c r="U28" s="73"/>
      <c r="V28" s="13"/>
      <c r="W28" s="13"/>
      <c r="X28" s="13"/>
      <c r="Y28" s="64">
        <f>SUM(Z28:AD28)</f>
        <v>138.20028818443802</v>
      </c>
      <c r="Z28" s="65">
        <f>AN28/AG28</f>
        <v>138.20028818443802</v>
      </c>
      <c r="AA28" s="65"/>
      <c r="AB28" s="65"/>
      <c r="AC28" s="65"/>
      <c r="AD28" s="65"/>
      <c r="AE28" s="65"/>
      <c r="AF28" s="14">
        <f>AG28</f>
        <v>20.82</v>
      </c>
      <c r="AG28" s="13">
        <v>20.82</v>
      </c>
      <c r="AH28" s="13"/>
      <c r="AI28" s="13"/>
      <c r="AJ28" s="13"/>
      <c r="AK28" s="13"/>
      <c r="AL28" s="13"/>
      <c r="AM28" s="14">
        <f>SUM(AN28:AR28)</f>
        <v>2877.33</v>
      </c>
      <c r="AN28" s="36">
        <v>2877.33</v>
      </c>
      <c r="AO28" s="36"/>
      <c r="AP28" s="36"/>
      <c r="AQ28" s="13"/>
      <c r="AR28" s="13"/>
      <c r="AS28" s="13"/>
      <c r="AT28" s="14">
        <f>SUM(AU28:AY28)</f>
        <v>0</v>
      </c>
      <c r="AU28" s="37">
        <f>(L28-AG28)*E28</f>
        <v>0</v>
      </c>
      <c r="AV28" s="37"/>
      <c r="AW28" s="37"/>
      <c r="AX28" s="37"/>
      <c r="AY28" s="37"/>
      <c r="AZ28" s="13"/>
    </row>
    <row r="29" spans="1:52" ht="54" customHeight="1">
      <c r="A29" s="74"/>
      <c r="B29" s="47" t="s">
        <v>21</v>
      </c>
      <c r="C29" s="48"/>
      <c r="D29" s="75">
        <f t="shared" si="22"/>
        <v>372.4302127659575</v>
      </c>
      <c r="E29" s="76"/>
      <c r="F29" s="76"/>
      <c r="G29" s="76">
        <f>U29/N29</f>
        <v>372.4302127659575</v>
      </c>
      <c r="H29" s="76"/>
      <c r="I29" s="76"/>
      <c r="J29" s="76"/>
      <c r="K29" s="14">
        <f t="shared" si="18"/>
        <v>23.5</v>
      </c>
      <c r="L29" s="37"/>
      <c r="M29" s="13"/>
      <c r="N29" s="50">
        <v>23.5</v>
      </c>
      <c r="O29" s="37"/>
      <c r="P29" s="37"/>
      <c r="Q29" s="37"/>
      <c r="R29" s="14">
        <f t="shared" si="23"/>
        <v>8752.11</v>
      </c>
      <c r="S29" s="50"/>
      <c r="T29" s="50"/>
      <c r="U29" s="36">
        <v>8752.11</v>
      </c>
      <c r="V29" s="36"/>
      <c r="W29" s="36"/>
      <c r="X29" s="13"/>
      <c r="Y29" s="67">
        <f>SUM(Z29:AD29)</f>
        <v>372.42680851063835</v>
      </c>
      <c r="Z29" s="97"/>
      <c r="AA29" s="97"/>
      <c r="AB29" s="97">
        <f>AP29/AI29</f>
        <v>372.42680851063835</v>
      </c>
      <c r="AC29" s="97"/>
      <c r="AD29" s="97"/>
      <c r="AE29" s="97"/>
      <c r="AF29" s="14">
        <f>AI29</f>
        <v>23.5</v>
      </c>
      <c r="AG29" s="13"/>
      <c r="AH29" s="13"/>
      <c r="AI29" s="13">
        <v>23.5</v>
      </c>
      <c r="AJ29" s="13"/>
      <c r="AK29" s="13"/>
      <c r="AL29" s="37"/>
      <c r="AM29" s="15">
        <f>SUM(AN29:AR29)</f>
        <v>8752.03</v>
      </c>
      <c r="AN29" s="50"/>
      <c r="AO29" s="50"/>
      <c r="AP29" s="50">
        <v>8752.03</v>
      </c>
      <c r="AQ29" s="36"/>
      <c r="AR29" s="36"/>
      <c r="AS29" s="13"/>
      <c r="AT29" s="14">
        <f>SUM(AU29:AY29)</f>
        <v>0</v>
      </c>
      <c r="AU29" s="37"/>
      <c r="AV29" s="37"/>
      <c r="AW29" s="37">
        <f>(N29-AI29)*G29</f>
        <v>0</v>
      </c>
      <c r="AX29" s="37"/>
      <c r="AY29" s="37"/>
      <c r="AZ29" s="13"/>
    </row>
    <row r="30" spans="1:52" ht="59.25" customHeight="1">
      <c r="A30" s="38"/>
      <c r="B30" s="54" t="s">
        <v>39</v>
      </c>
      <c r="C30" s="40"/>
      <c r="D30" s="75">
        <f t="shared" si="22"/>
        <v>8093.188</v>
      </c>
      <c r="E30" s="76"/>
      <c r="F30" s="65">
        <v>8093.188</v>
      </c>
      <c r="G30" s="76"/>
      <c r="H30" s="76"/>
      <c r="I30" s="76"/>
      <c r="J30" s="76"/>
      <c r="K30" s="14">
        <f t="shared" si="18"/>
        <v>15.680000266891119</v>
      </c>
      <c r="L30" s="13"/>
      <c r="M30" s="129">
        <f>T30/F30</f>
        <v>15.680000266891119</v>
      </c>
      <c r="N30" s="13"/>
      <c r="O30" s="37"/>
      <c r="P30" s="37"/>
      <c r="Q30" s="37"/>
      <c r="R30" s="14">
        <f t="shared" si="23"/>
        <v>126901.19</v>
      </c>
      <c r="S30" s="13"/>
      <c r="T30" s="13">
        <v>126901.19</v>
      </c>
      <c r="U30" s="13"/>
      <c r="V30" s="13"/>
      <c r="W30" s="13"/>
      <c r="X30" s="37"/>
      <c r="Y30" s="67">
        <f>SUM(Z30:AD30)</f>
        <v>8093.187606837607</v>
      </c>
      <c r="Z30" s="97"/>
      <c r="AA30" s="97">
        <f>AO30/AH30</f>
        <v>8093.187606837607</v>
      </c>
      <c r="AB30" s="97"/>
      <c r="AC30" s="97"/>
      <c r="AD30" s="97"/>
      <c r="AE30" s="97"/>
      <c r="AF30" s="14">
        <f>AH30</f>
        <v>23.4</v>
      </c>
      <c r="AG30" s="37"/>
      <c r="AH30" s="37">
        <v>23.4</v>
      </c>
      <c r="AI30" s="37"/>
      <c r="AJ30" s="37"/>
      <c r="AK30" s="37"/>
      <c r="AL30" s="37"/>
      <c r="AM30" s="15">
        <f>SUM(AN30:AR30)</f>
        <v>189380.59</v>
      </c>
      <c r="AN30" s="13"/>
      <c r="AO30" s="13">
        <f>189047.21+333.38</f>
        <v>189380.59</v>
      </c>
      <c r="AP30" s="13"/>
      <c r="AQ30" s="13"/>
      <c r="AR30" s="13"/>
      <c r="AS30" s="37"/>
      <c r="AT30" s="15">
        <f>SUM(AU30:AY30)</f>
        <v>-62479.40919999999</v>
      </c>
      <c r="AU30" s="37"/>
      <c r="AV30" s="37">
        <f>(M30-AH30)*F30</f>
        <v>-62479.40919999999</v>
      </c>
      <c r="AW30" s="37"/>
      <c r="AX30" s="37"/>
      <c r="AY30" s="37"/>
      <c r="AZ30" s="13"/>
    </row>
    <row r="31" spans="1:52" ht="35.25" customHeight="1">
      <c r="A31" s="38"/>
      <c r="B31" s="39" t="s">
        <v>22</v>
      </c>
      <c r="C31" s="40"/>
      <c r="D31" s="75">
        <f t="shared" si="22"/>
        <v>119.9</v>
      </c>
      <c r="E31" s="76"/>
      <c r="F31" s="76"/>
      <c r="G31" s="77">
        <v>119.9</v>
      </c>
      <c r="H31" s="76"/>
      <c r="I31" s="76"/>
      <c r="J31" s="76"/>
      <c r="K31" s="14">
        <f t="shared" si="18"/>
        <v>28.95721434528774</v>
      </c>
      <c r="L31" s="13"/>
      <c r="M31" s="122"/>
      <c r="N31" s="13">
        <v>28.96</v>
      </c>
      <c r="O31" s="13"/>
      <c r="P31" s="13"/>
      <c r="Q31" s="13"/>
      <c r="R31" s="14">
        <f t="shared" si="23"/>
        <v>3471.97</v>
      </c>
      <c r="S31" s="13"/>
      <c r="T31" s="13"/>
      <c r="U31" s="13">
        <v>3471.97</v>
      </c>
      <c r="V31" s="13"/>
      <c r="W31" s="13"/>
      <c r="X31" s="13"/>
      <c r="Y31" s="64">
        <f>SUM(Z31:AD31)</f>
        <v>106.30006906077347</v>
      </c>
      <c r="Z31" s="65"/>
      <c r="AA31" s="65"/>
      <c r="AB31" s="65">
        <f>AP31/AI31</f>
        <v>106.30006906077347</v>
      </c>
      <c r="AC31" s="65"/>
      <c r="AD31" s="65"/>
      <c r="AE31" s="65"/>
      <c r="AF31" s="14">
        <f>AI31</f>
        <v>28.96</v>
      </c>
      <c r="AG31" s="13"/>
      <c r="AH31" s="13"/>
      <c r="AI31" s="13">
        <v>28.96</v>
      </c>
      <c r="AJ31" s="13"/>
      <c r="AK31" s="13"/>
      <c r="AL31" s="13"/>
      <c r="AM31" s="14">
        <f>SUM(AN31:AR31)</f>
        <v>3078.45</v>
      </c>
      <c r="AN31" s="13"/>
      <c r="AO31" s="13"/>
      <c r="AP31" s="13">
        <v>3078.45</v>
      </c>
      <c r="AQ31" s="13"/>
      <c r="AR31" s="13"/>
      <c r="AS31" s="13"/>
      <c r="AT31" s="15">
        <f>SUM(AU31:AY31)</f>
        <v>0</v>
      </c>
      <c r="AU31" s="37"/>
      <c r="AV31" s="37"/>
      <c r="AW31" s="37">
        <f>(N31-AI31)*G31</f>
        <v>0</v>
      </c>
      <c r="AX31" s="37"/>
      <c r="AY31" s="37"/>
      <c r="AZ31" s="13"/>
    </row>
    <row r="32" spans="1:52" ht="42" customHeight="1">
      <c r="A32" s="9"/>
      <c r="B32" s="43" t="s">
        <v>25</v>
      </c>
      <c r="C32" s="32"/>
      <c r="D32" s="75">
        <f t="shared" si="22"/>
        <v>43536.17</v>
      </c>
      <c r="E32" s="34">
        <v>4111.44</v>
      </c>
      <c r="F32" s="34">
        <v>6461.22</v>
      </c>
      <c r="G32" s="34">
        <v>14700.68</v>
      </c>
      <c r="H32" s="34">
        <v>10353.4</v>
      </c>
      <c r="I32" s="34">
        <v>7909.43</v>
      </c>
      <c r="J32" s="96"/>
      <c r="K32" s="120">
        <f t="shared" si="18"/>
        <v>20.630060935539348</v>
      </c>
      <c r="L32" s="36">
        <v>20.67</v>
      </c>
      <c r="M32" s="36">
        <v>20.91</v>
      </c>
      <c r="N32" s="36">
        <v>20.91</v>
      </c>
      <c r="O32" s="36">
        <v>20.91</v>
      </c>
      <c r="P32" s="36">
        <v>19.49</v>
      </c>
      <c r="Q32" s="36"/>
      <c r="R32" s="14">
        <f t="shared" si="23"/>
        <v>898153.8400000001</v>
      </c>
      <c r="S32" s="36">
        <v>84998.27</v>
      </c>
      <c r="T32" s="36">
        <v>135101.52</v>
      </c>
      <c r="U32" s="36">
        <v>307385.34</v>
      </c>
      <c r="V32" s="36">
        <v>216485.45</v>
      </c>
      <c r="W32" s="36">
        <v>154183.26</v>
      </c>
      <c r="X32" s="36"/>
      <c r="Y32" s="67">
        <f>SUM(Z32:AD32)</f>
        <v>43371.0862483697</v>
      </c>
      <c r="Z32" s="97">
        <f>AN32/AG32</f>
        <v>4111.192065795839</v>
      </c>
      <c r="AA32" s="97">
        <f>AO32/AH32</f>
        <v>6459.032520325203</v>
      </c>
      <c r="AB32" s="97">
        <f>AP32/AI32</f>
        <v>14716.702534672406</v>
      </c>
      <c r="AC32" s="97">
        <f>AQ32/AJ32</f>
        <v>10372.125777140123</v>
      </c>
      <c r="AD32" s="97">
        <f>AR32/AK32</f>
        <v>7712.033350436123</v>
      </c>
      <c r="AE32" s="97"/>
      <c r="AF32" s="121">
        <f>AM32/Y32</f>
        <v>20.634752721547084</v>
      </c>
      <c r="AG32" s="37">
        <v>20.67</v>
      </c>
      <c r="AH32" s="37">
        <v>20.91</v>
      </c>
      <c r="AI32" s="37">
        <f>AH32</f>
        <v>20.91</v>
      </c>
      <c r="AJ32" s="37">
        <f>AH32</f>
        <v>20.91</v>
      </c>
      <c r="AK32" s="37">
        <v>19.49</v>
      </c>
      <c r="AL32" s="37"/>
      <c r="AM32" s="15">
        <f>SUM(AN32:AS32)</f>
        <v>894951.64</v>
      </c>
      <c r="AN32" s="36">
        <f>84884.37+93.97</f>
        <v>84978.34</v>
      </c>
      <c r="AO32" s="36">
        <f>72301.82+37509.58+25215.13+31.84</f>
        <v>135058.37</v>
      </c>
      <c r="AP32" s="36">
        <f>118816.74+188966.41-56.9</f>
        <v>307726.25</v>
      </c>
      <c r="AQ32" s="36">
        <f>149236.26+48645.87+18895.03+98.52+5.47</f>
        <v>216881.15</v>
      </c>
      <c r="AR32" s="36">
        <f>149234.89+1072.64</f>
        <v>150307.53000000003</v>
      </c>
      <c r="AS32" s="37"/>
      <c r="AT32" s="15">
        <f>SUM(AU32:AY32)</f>
        <v>0</v>
      </c>
      <c r="AU32" s="37">
        <f>(L32-AG32)*E32</f>
        <v>0</v>
      </c>
      <c r="AV32" s="37">
        <f>(M32-AH32)*F32</f>
        <v>0</v>
      </c>
      <c r="AW32" s="37">
        <f>(N32-AI32)*G32</f>
        <v>0</v>
      </c>
      <c r="AX32" s="37">
        <f>(O32-AJ32)*H32</f>
        <v>0</v>
      </c>
      <c r="AY32" s="37">
        <f>(P32-AK32)*I32</f>
        <v>0</v>
      </c>
      <c r="AZ32" s="37"/>
    </row>
    <row r="33" spans="1:52" ht="84" customHeight="1">
      <c r="A33" s="74"/>
      <c r="B33" s="31" t="s">
        <v>27</v>
      </c>
      <c r="C33" s="40"/>
      <c r="D33" s="75">
        <f t="shared" si="22"/>
        <v>20845.030000000002</v>
      </c>
      <c r="E33" s="65">
        <v>4881.5</v>
      </c>
      <c r="F33" s="65">
        <v>15003.4</v>
      </c>
      <c r="G33" s="76"/>
      <c r="H33" s="76"/>
      <c r="I33" s="76"/>
      <c r="J33" s="65">
        <v>960.13</v>
      </c>
      <c r="K33" s="14">
        <f t="shared" si="18"/>
        <v>23.73623784662339</v>
      </c>
      <c r="L33" s="13">
        <v>20.67</v>
      </c>
      <c r="M33" s="13">
        <v>25</v>
      </c>
      <c r="N33" s="13"/>
      <c r="O33" s="13"/>
      <c r="P33" s="13"/>
      <c r="Q33" s="13">
        <v>19.49</v>
      </c>
      <c r="R33" s="14">
        <f t="shared" si="23"/>
        <v>494782.59</v>
      </c>
      <c r="S33" s="13">
        <v>100918.18</v>
      </c>
      <c r="T33" s="13">
        <v>375148.02</v>
      </c>
      <c r="U33" s="13"/>
      <c r="V33" s="13"/>
      <c r="W33" s="13"/>
      <c r="X33" s="13">
        <v>18716.39</v>
      </c>
      <c r="Y33" s="64">
        <f>SUM(Z33:AE33)</f>
        <v>20804.750660821534</v>
      </c>
      <c r="Z33" s="65">
        <f>AN33/AG33</f>
        <v>4751.791485244315</v>
      </c>
      <c r="AA33" s="65">
        <f>AO33/AH33</f>
        <v>15092.826800000003</v>
      </c>
      <c r="AB33" s="65"/>
      <c r="AC33" s="65"/>
      <c r="AD33" s="65"/>
      <c r="AE33" s="65">
        <f>AS33/AL33</f>
        <v>960.1323755772191</v>
      </c>
      <c r="AF33" s="14">
        <f>AM33/Y33</f>
        <v>23.75674614215651</v>
      </c>
      <c r="AG33" s="13">
        <v>20.67</v>
      </c>
      <c r="AH33" s="13">
        <v>25</v>
      </c>
      <c r="AI33" s="13"/>
      <c r="AJ33" s="13"/>
      <c r="AK33" s="13"/>
      <c r="AL33" s="37">
        <v>19.49</v>
      </c>
      <c r="AM33" s="15">
        <f>SUM(AN33:AS33)</f>
        <v>494253.18000000005</v>
      </c>
      <c r="AN33" s="13">
        <f>98093.55+125.98</f>
        <v>98219.53</v>
      </c>
      <c r="AO33" s="13">
        <f>295074.14+81785.51+785.33-324.31</f>
        <v>377320.67000000004</v>
      </c>
      <c r="AP33" s="13"/>
      <c r="AQ33" s="13"/>
      <c r="AR33" s="13"/>
      <c r="AS33" s="37">
        <v>18712.98</v>
      </c>
      <c r="AT33" s="14">
        <f>SUM(AU33:AZ33)</f>
        <v>0</v>
      </c>
      <c r="AU33" s="37">
        <f>(L33-AG33)*E33</f>
        <v>0</v>
      </c>
      <c r="AV33" s="37">
        <f>(M33-AH33)*F33</f>
        <v>0</v>
      </c>
      <c r="AW33" s="37"/>
      <c r="AX33" s="37"/>
      <c r="AY33" s="37"/>
      <c r="AZ33" s="37">
        <f>(Q33-AL33)*J33</f>
        <v>0</v>
      </c>
    </row>
    <row r="34" spans="1:52" ht="39.75" customHeight="1">
      <c r="A34" s="38"/>
      <c r="B34" s="39" t="s">
        <v>23</v>
      </c>
      <c r="C34" s="40"/>
      <c r="D34" s="75">
        <f t="shared" si="22"/>
        <v>727.663</v>
      </c>
      <c r="E34" s="76"/>
      <c r="F34" s="65">
        <v>727.663</v>
      </c>
      <c r="G34" s="76"/>
      <c r="H34" s="76"/>
      <c r="I34" s="76"/>
      <c r="J34" s="76"/>
      <c r="K34" s="14">
        <f t="shared" si="18"/>
        <v>21.55859237036925</v>
      </c>
      <c r="L34" s="13"/>
      <c r="M34" s="13">
        <v>21.56</v>
      </c>
      <c r="N34" s="13"/>
      <c r="O34" s="37"/>
      <c r="P34" s="37"/>
      <c r="Q34" s="37"/>
      <c r="R34" s="14">
        <f t="shared" si="23"/>
        <v>15687.39</v>
      </c>
      <c r="S34" s="13"/>
      <c r="T34" s="13">
        <v>15687.39</v>
      </c>
      <c r="U34" s="13"/>
      <c r="V34" s="13"/>
      <c r="W34" s="13"/>
      <c r="X34" s="13"/>
      <c r="Y34" s="67">
        <f>SUM(Z34:AD34)</f>
        <v>727.6632653061225</v>
      </c>
      <c r="Z34" s="97"/>
      <c r="AA34" s="97">
        <f>AO34/AH34</f>
        <v>727.6632653061225</v>
      </c>
      <c r="AB34" s="97"/>
      <c r="AC34" s="97"/>
      <c r="AD34" s="97"/>
      <c r="AE34" s="97"/>
      <c r="AF34" s="14">
        <f>AH34</f>
        <v>21.56</v>
      </c>
      <c r="AG34" s="37"/>
      <c r="AH34" s="37">
        <v>21.56</v>
      </c>
      <c r="AI34" s="37"/>
      <c r="AJ34" s="37"/>
      <c r="AK34" s="37"/>
      <c r="AL34" s="37"/>
      <c r="AM34" s="15">
        <f>SUM(AN34:AR34)</f>
        <v>15688.42</v>
      </c>
      <c r="AN34" s="13"/>
      <c r="AO34" s="13">
        <v>15688.42</v>
      </c>
      <c r="AP34" s="13"/>
      <c r="AQ34" s="13"/>
      <c r="AR34" s="13"/>
      <c r="AS34" s="37"/>
      <c r="AT34" s="14">
        <f>SUM(AU34:AZ34)</f>
        <v>0</v>
      </c>
      <c r="AU34" s="37"/>
      <c r="AV34" s="37">
        <f>(M34-AH34)*F34</f>
        <v>0</v>
      </c>
      <c r="AW34" s="37"/>
      <c r="AX34" s="37"/>
      <c r="AY34" s="37"/>
      <c r="AZ34" s="13"/>
    </row>
    <row r="35" spans="1:52" ht="39.75" customHeight="1">
      <c r="A35" s="38"/>
      <c r="B35" s="39" t="s">
        <v>44</v>
      </c>
      <c r="C35" s="40"/>
      <c r="D35" s="75">
        <f t="shared" si="22"/>
        <v>0</v>
      </c>
      <c r="E35" s="76"/>
      <c r="F35" s="76"/>
      <c r="G35" s="76"/>
      <c r="H35" s="76"/>
      <c r="I35" s="76"/>
      <c r="J35" s="76"/>
      <c r="K35" s="14" t="e">
        <f t="shared" si="18"/>
        <v>#DIV/0!</v>
      </c>
      <c r="L35" s="13"/>
      <c r="M35" s="37"/>
      <c r="N35" s="13"/>
      <c r="O35" s="37"/>
      <c r="P35" s="37"/>
      <c r="Q35" s="37"/>
      <c r="R35" s="14">
        <f t="shared" si="23"/>
        <v>0</v>
      </c>
      <c r="S35" s="13"/>
      <c r="T35" s="13"/>
      <c r="U35" s="13"/>
      <c r="V35" s="13"/>
      <c r="W35" s="13"/>
      <c r="X35" s="37"/>
      <c r="Y35" s="67">
        <f>SUM(Z35:AD35)</f>
        <v>0</v>
      </c>
      <c r="Z35" s="97"/>
      <c r="AA35" s="97"/>
      <c r="AB35" s="97"/>
      <c r="AC35" s="97"/>
      <c r="AD35" s="97"/>
      <c r="AE35" s="97"/>
      <c r="AF35" s="14">
        <f>AJ35</f>
        <v>0</v>
      </c>
      <c r="AG35" s="37"/>
      <c r="AH35" s="37"/>
      <c r="AI35" s="37"/>
      <c r="AJ35" s="139"/>
      <c r="AK35" s="37"/>
      <c r="AL35" s="37"/>
      <c r="AM35" s="15">
        <f>SUM(AN35:AR35)</f>
        <v>0</v>
      </c>
      <c r="AN35" s="13"/>
      <c r="AO35" s="13"/>
      <c r="AP35" s="13"/>
      <c r="AQ35" s="13"/>
      <c r="AR35" s="13"/>
      <c r="AS35" s="37"/>
      <c r="AT35" s="14">
        <f>SUM(AU35:AZ35)</f>
        <v>0</v>
      </c>
      <c r="AU35" s="37"/>
      <c r="AV35" s="37"/>
      <c r="AW35" s="37"/>
      <c r="AX35" s="37"/>
      <c r="AY35" s="37"/>
      <c r="AZ35" s="13"/>
    </row>
    <row r="36" spans="1:52" ht="43.5" customHeight="1" thickBot="1">
      <c r="A36" s="78"/>
      <c r="B36" s="79" t="s">
        <v>26</v>
      </c>
      <c r="C36" s="80"/>
      <c r="D36" s="75">
        <f t="shared" si="22"/>
        <v>877.9666666666666</v>
      </c>
      <c r="E36" s="81"/>
      <c r="F36" s="81"/>
      <c r="G36" s="81"/>
      <c r="H36" s="81"/>
      <c r="I36" s="34">
        <f>W36/P36</f>
        <v>877.9666666666666</v>
      </c>
      <c r="J36" s="96"/>
      <c r="K36" s="82">
        <f t="shared" si="18"/>
        <v>21</v>
      </c>
      <c r="L36" s="83"/>
      <c r="M36" s="83"/>
      <c r="N36" s="83"/>
      <c r="O36" s="83"/>
      <c r="P36" s="84">
        <v>21</v>
      </c>
      <c r="Q36" s="84"/>
      <c r="R36" s="14">
        <f t="shared" si="23"/>
        <v>18437.3</v>
      </c>
      <c r="S36" s="83"/>
      <c r="T36" s="83"/>
      <c r="U36" s="83"/>
      <c r="V36" s="83"/>
      <c r="W36" s="83">
        <v>18437.3</v>
      </c>
      <c r="X36" s="84"/>
      <c r="Y36" s="87">
        <f>SUM(Z36:AD36)</f>
        <v>877.9666666666666</v>
      </c>
      <c r="Z36" s="99"/>
      <c r="AA36" s="99"/>
      <c r="AB36" s="99"/>
      <c r="AC36" s="99"/>
      <c r="AD36" s="99">
        <f>AR36/AK36</f>
        <v>877.9666666666666</v>
      </c>
      <c r="AE36" s="99"/>
      <c r="AF36" s="85">
        <f>AK36</f>
        <v>21</v>
      </c>
      <c r="AG36" s="84"/>
      <c r="AH36" s="84"/>
      <c r="AI36" s="84"/>
      <c r="AJ36" s="84"/>
      <c r="AK36" s="84">
        <v>21</v>
      </c>
      <c r="AL36" s="84"/>
      <c r="AM36" s="86">
        <f>SUM(AN36:AR36)</f>
        <v>18437.3</v>
      </c>
      <c r="AN36" s="83"/>
      <c r="AO36" s="83"/>
      <c r="AP36" s="83"/>
      <c r="AQ36" s="83"/>
      <c r="AR36" s="83">
        <v>18437.3</v>
      </c>
      <c r="AS36" s="84"/>
      <c r="AT36" s="14">
        <f>SUM(AU36:AZ36)</f>
        <v>0</v>
      </c>
      <c r="AU36" s="36"/>
      <c r="AV36" s="36"/>
      <c r="AW36" s="36"/>
      <c r="AX36" s="36"/>
      <c r="AY36" s="37">
        <f>(P36-AK36)*I36</f>
        <v>0</v>
      </c>
      <c r="AZ36" s="50"/>
    </row>
    <row r="37" spans="1:65" s="29" customFormat="1" ht="36.75" customHeight="1" thickBot="1">
      <c r="A37" s="23">
        <v>4</v>
      </c>
      <c r="B37" s="24" t="s">
        <v>3</v>
      </c>
      <c r="C37" s="24" t="s">
        <v>5</v>
      </c>
      <c r="D37" s="27">
        <f aca="true" t="shared" si="24" ref="D37:J37">SUM(D38:D46)</f>
        <v>89008.15421619374</v>
      </c>
      <c r="E37" s="27">
        <f t="shared" si="24"/>
        <v>9393.370056497177</v>
      </c>
      <c r="F37" s="27">
        <f t="shared" si="24"/>
        <v>38274.76905660377</v>
      </c>
      <c r="G37" s="27">
        <f t="shared" si="24"/>
        <v>18593.480103092785</v>
      </c>
      <c r="H37" s="27">
        <f t="shared" si="24"/>
        <v>9903.26</v>
      </c>
      <c r="I37" s="27">
        <f t="shared" si="24"/>
        <v>12843.275000000001</v>
      </c>
      <c r="J37" s="27">
        <f t="shared" si="24"/>
        <v>0</v>
      </c>
      <c r="K37" s="28">
        <f t="shared" si="18"/>
        <v>20.282003215291464</v>
      </c>
      <c r="L37" s="28">
        <f>S37/E37</f>
        <v>17.7</v>
      </c>
      <c r="M37" s="28">
        <f>T37/F37</f>
        <v>22.388348541900672</v>
      </c>
      <c r="N37" s="28">
        <f>U37/G37</f>
        <v>20.121033175374738</v>
      </c>
      <c r="O37" s="28">
        <f>V37/H37</f>
        <v>17.857852868651335</v>
      </c>
      <c r="P37" s="28">
        <f>W37/I37</f>
        <v>17.995500368870086</v>
      </c>
      <c r="Q37" s="28"/>
      <c r="R37" s="27">
        <f aca="true" t="shared" si="25" ref="R37:AE37">SUM(R38:R46)</f>
        <v>1805263.67</v>
      </c>
      <c r="S37" s="61">
        <f t="shared" si="25"/>
        <v>166262.65000000002</v>
      </c>
      <c r="T37" s="61">
        <f t="shared" si="25"/>
        <v>856908.87</v>
      </c>
      <c r="U37" s="61">
        <f t="shared" si="25"/>
        <v>374120.03</v>
      </c>
      <c r="V37" s="61">
        <f t="shared" si="25"/>
        <v>176850.96000000002</v>
      </c>
      <c r="W37" s="61">
        <f t="shared" si="25"/>
        <v>231121.16</v>
      </c>
      <c r="X37" s="61">
        <f t="shared" si="25"/>
        <v>0</v>
      </c>
      <c r="Y37" s="59">
        <f t="shared" si="25"/>
        <v>89455.8166310823</v>
      </c>
      <c r="Z37" s="59">
        <f t="shared" si="25"/>
        <v>9645.88361581921</v>
      </c>
      <c r="AA37" s="59">
        <f t="shared" si="25"/>
        <v>38284.829</v>
      </c>
      <c r="AB37" s="59">
        <f t="shared" si="25"/>
        <v>18726.68634280954</v>
      </c>
      <c r="AC37" s="59">
        <f t="shared" si="25"/>
        <v>10095.49100578688</v>
      </c>
      <c r="AD37" s="59">
        <f t="shared" si="25"/>
        <v>12702.926666666666</v>
      </c>
      <c r="AE37" s="59">
        <f t="shared" si="25"/>
        <v>0</v>
      </c>
      <c r="AF37" s="86">
        <f>AM37/Y37</f>
        <v>20.264521059328544</v>
      </c>
      <c r="AG37" s="101">
        <f>AG40</f>
        <v>17.7</v>
      </c>
      <c r="AH37" s="101">
        <f>AO37/AA37</f>
        <v>22.38695254457059</v>
      </c>
      <c r="AI37" s="101">
        <f>AP37/AB37</f>
        <v>20.118364408055584</v>
      </c>
      <c r="AJ37" s="101">
        <f>AQ37/AC37</f>
        <v>17.786505866537013</v>
      </c>
      <c r="AK37" s="27">
        <f>AK40</f>
        <v>18</v>
      </c>
      <c r="AL37" s="27"/>
      <c r="AM37" s="27">
        <f aca="true" t="shared" si="26" ref="AM37:AZ37">SUM(AM38:AM46)</f>
        <v>1812779.2799999998</v>
      </c>
      <c r="AN37" s="27">
        <f t="shared" si="26"/>
        <v>170732.14</v>
      </c>
      <c r="AO37" s="27">
        <f t="shared" si="26"/>
        <v>857080.6499999999</v>
      </c>
      <c r="AP37" s="27">
        <f t="shared" si="26"/>
        <v>376750.3</v>
      </c>
      <c r="AQ37" s="27">
        <f t="shared" si="26"/>
        <v>179563.50999999998</v>
      </c>
      <c r="AR37" s="27">
        <f t="shared" si="26"/>
        <v>228652.68</v>
      </c>
      <c r="AS37" s="27">
        <f t="shared" si="26"/>
        <v>0</v>
      </c>
      <c r="AT37" s="118">
        <f t="shared" si="26"/>
        <v>-115.57350000001807</v>
      </c>
      <c r="AU37" s="27">
        <f t="shared" si="26"/>
        <v>0</v>
      </c>
      <c r="AV37" s="27">
        <f t="shared" si="26"/>
        <v>0</v>
      </c>
      <c r="AW37" s="27">
        <f t="shared" si="26"/>
        <v>0</v>
      </c>
      <c r="AX37" s="27">
        <f t="shared" si="26"/>
        <v>0</v>
      </c>
      <c r="AY37" s="27">
        <f t="shared" si="26"/>
        <v>-115.57350000001807</v>
      </c>
      <c r="AZ37" s="27">
        <f t="shared" si="26"/>
        <v>0</v>
      </c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</row>
    <row r="38" spans="1:52" s="4" customFormat="1" ht="56.25" customHeight="1">
      <c r="A38" s="123"/>
      <c r="B38" s="124" t="s">
        <v>39</v>
      </c>
      <c r="C38" s="72"/>
      <c r="D38" s="63">
        <f>SUM(E38:I38)</f>
        <v>14096.289056603773</v>
      </c>
      <c r="E38" s="37"/>
      <c r="F38" s="128">
        <f>T38/M38</f>
        <v>14096.289056603773</v>
      </c>
      <c r="G38" s="37"/>
      <c r="H38" s="37"/>
      <c r="I38" s="37"/>
      <c r="J38" s="37"/>
      <c r="K38" s="63">
        <f t="shared" si="18"/>
        <v>26.5</v>
      </c>
      <c r="L38" s="73"/>
      <c r="M38" s="145">
        <v>26.5</v>
      </c>
      <c r="N38" s="73"/>
      <c r="O38" s="73"/>
      <c r="P38" s="73"/>
      <c r="Q38" s="37"/>
      <c r="R38" s="15">
        <f>SUM(S38:W38)</f>
        <v>373551.66</v>
      </c>
      <c r="S38" s="13"/>
      <c r="T38" s="13">
        <v>373551.66</v>
      </c>
      <c r="U38" s="13"/>
      <c r="V38" s="13"/>
      <c r="W38" s="13"/>
      <c r="X38" s="13"/>
      <c r="Y38" s="67">
        <f>SUM(Z38:AD38)</f>
        <v>14096.289</v>
      </c>
      <c r="Z38" s="97"/>
      <c r="AA38" s="97">
        <f>ROUND(AO38/AH38,3)</f>
        <v>14096.289</v>
      </c>
      <c r="AB38" s="97"/>
      <c r="AC38" s="97"/>
      <c r="AD38" s="97"/>
      <c r="AE38" s="97"/>
      <c r="AF38" s="14">
        <f>AH38</f>
        <v>26.5</v>
      </c>
      <c r="AG38" s="37"/>
      <c r="AH38" s="37">
        <v>26.5</v>
      </c>
      <c r="AI38" s="13"/>
      <c r="AJ38" s="13"/>
      <c r="AK38" s="13"/>
      <c r="AL38" s="37"/>
      <c r="AM38" s="15">
        <f>SUM(AN38:AR38)</f>
        <v>373551.66</v>
      </c>
      <c r="AN38" s="13"/>
      <c r="AO38" s="13">
        <f>16346.81+357204.85</f>
        <v>373551.66</v>
      </c>
      <c r="AP38" s="13"/>
      <c r="AQ38" s="13"/>
      <c r="AR38" s="13"/>
      <c r="AS38" s="13"/>
      <c r="AT38" s="15">
        <f>SUM(AU38:AY38)</f>
        <v>0</v>
      </c>
      <c r="AU38" s="37"/>
      <c r="AV38" s="37">
        <f>(M38-AH38)*F38</f>
        <v>0</v>
      </c>
      <c r="AW38" s="37"/>
      <c r="AX38" s="37"/>
      <c r="AY38" s="37"/>
      <c r="AZ38" s="13"/>
    </row>
    <row r="39" spans="1:52" ht="45.75" customHeight="1">
      <c r="A39" s="38"/>
      <c r="B39" s="39" t="s">
        <v>24</v>
      </c>
      <c r="C39" s="40"/>
      <c r="D39" s="14">
        <f>SUM(E39:I39)</f>
        <v>641.0701030927835</v>
      </c>
      <c r="E39" s="13"/>
      <c r="F39" s="13"/>
      <c r="G39" s="13">
        <f>U39/N39</f>
        <v>641.0701030927835</v>
      </c>
      <c r="H39" s="13"/>
      <c r="I39" s="13"/>
      <c r="J39" s="13"/>
      <c r="K39" s="14">
        <f t="shared" si="18"/>
        <v>29.1</v>
      </c>
      <c r="L39" s="13"/>
      <c r="M39" s="13"/>
      <c r="N39" s="13">
        <v>29.1</v>
      </c>
      <c r="O39" s="13"/>
      <c r="P39" s="13"/>
      <c r="Q39" s="13"/>
      <c r="R39" s="14">
        <f>SUM(S39:W39)</f>
        <v>18655.14</v>
      </c>
      <c r="S39" s="13"/>
      <c r="T39" s="13"/>
      <c r="U39" s="13">
        <v>18655.14</v>
      </c>
      <c r="V39" s="13"/>
      <c r="W39" s="13"/>
      <c r="X39" s="13"/>
      <c r="Y39" s="64">
        <f>SUM(Z39:AD39)</f>
        <v>641.0656357388317</v>
      </c>
      <c r="Z39" s="65"/>
      <c r="AA39" s="65"/>
      <c r="AB39" s="65">
        <f>AP39/AI39</f>
        <v>641.0656357388317</v>
      </c>
      <c r="AC39" s="65"/>
      <c r="AD39" s="65"/>
      <c r="AE39" s="97"/>
      <c r="AF39" s="14">
        <f>AI39</f>
        <v>29.1</v>
      </c>
      <c r="AG39" s="127"/>
      <c r="AH39" s="13"/>
      <c r="AI39" s="127">
        <v>29.1</v>
      </c>
      <c r="AJ39" s="13"/>
      <c r="AK39" s="13"/>
      <c r="AL39" s="13"/>
      <c r="AM39" s="14">
        <f>SUM(AN39:AR39)</f>
        <v>18655.010000000002</v>
      </c>
      <c r="AN39" s="13"/>
      <c r="AO39" s="13"/>
      <c r="AP39" s="13">
        <f>7817.39+10837.62</f>
        <v>18655.010000000002</v>
      </c>
      <c r="AQ39" s="13"/>
      <c r="AR39" s="13"/>
      <c r="AS39" s="13"/>
      <c r="AT39" s="15">
        <f>SUM(AU39:AY39)</f>
        <v>0</v>
      </c>
      <c r="AU39" s="37"/>
      <c r="AV39" s="37"/>
      <c r="AW39" s="37">
        <f>(N39-AI39)*G39</f>
        <v>0</v>
      </c>
      <c r="AX39" s="37"/>
      <c r="AY39" s="37"/>
      <c r="AZ39" s="13"/>
    </row>
    <row r="40" spans="1:52" ht="46.5" customHeight="1">
      <c r="A40" s="9"/>
      <c r="B40" s="43" t="s">
        <v>25</v>
      </c>
      <c r="C40" s="10"/>
      <c r="D40" s="15">
        <f aca="true" t="shared" si="27" ref="D40:D46">SUM(E40:I40)</f>
        <v>41475.32005649718</v>
      </c>
      <c r="E40" s="34">
        <f>S40/L40</f>
        <v>3976.4700564971754</v>
      </c>
      <c r="F40" s="34">
        <v>1179.38</v>
      </c>
      <c r="G40" s="34">
        <v>17952.41</v>
      </c>
      <c r="H40" s="34">
        <v>6809.71</v>
      </c>
      <c r="I40" s="34">
        <v>11557.35</v>
      </c>
      <c r="J40" s="96"/>
      <c r="K40" s="120">
        <f t="shared" si="18"/>
        <v>19.095937027637966</v>
      </c>
      <c r="L40" s="37">
        <v>17.7</v>
      </c>
      <c r="M40" s="37">
        <v>19.8</v>
      </c>
      <c r="N40" s="37">
        <f>M40</f>
        <v>19.8</v>
      </c>
      <c r="O40" s="37">
        <f>N40</f>
        <v>19.8</v>
      </c>
      <c r="P40" s="37">
        <v>17.99</v>
      </c>
      <c r="Q40" s="37"/>
      <c r="R40" s="15">
        <f aca="true" t="shared" si="28" ref="R40:R46">SUM(S40:W40)</f>
        <v>792010.1</v>
      </c>
      <c r="S40" s="37">
        <v>70383.52</v>
      </c>
      <c r="T40" s="37">
        <v>23352.2</v>
      </c>
      <c r="U40" s="37">
        <v>355464.89</v>
      </c>
      <c r="V40" s="37">
        <v>134834.98</v>
      </c>
      <c r="W40" s="37">
        <v>207974.51</v>
      </c>
      <c r="X40" s="37"/>
      <c r="Y40" s="67">
        <f aca="true" t="shared" si="29" ref="Y40:Y46">SUM(Z40:AD40)</f>
        <v>41874.27934771443</v>
      </c>
      <c r="Z40" s="97">
        <f>AN40/AG40</f>
        <v>4364.821468926553</v>
      </c>
      <c r="AA40" s="97">
        <f>ROUND(AO40/AH40,3)</f>
        <v>1179.385</v>
      </c>
      <c r="AB40" s="97">
        <f>AP40/AI40</f>
        <v>18085.620707070706</v>
      </c>
      <c r="AC40" s="97">
        <f>AQ40/AJ40</f>
        <v>6827.450505050504</v>
      </c>
      <c r="AD40" s="97">
        <f>AR40/AK40</f>
        <v>11417.001666666667</v>
      </c>
      <c r="AE40" s="97"/>
      <c r="AF40" s="15">
        <f>AM40/Y40</f>
        <v>19.090334507300177</v>
      </c>
      <c r="AG40" s="37">
        <v>17.7</v>
      </c>
      <c r="AH40" s="37">
        <v>19.8</v>
      </c>
      <c r="AI40" s="37">
        <f>AH40</f>
        <v>19.8</v>
      </c>
      <c r="AJ40" s="37">
        <f>AH40</f>
        <v>19.8</v>
      </c>
      <c r="AK40" s="37">
        <v>18</v>
      </c>
      <c r="AL40" s="37"/>
      <c r="AM40" s="15">
        <f aca="true" t="shared" si="30" ref="AM40:AM46">SUM(AN40:AR40)</f>
        <v>799394</v>
      </c>
      <c r="AN40" s="37">
        <f>77257.34</f>
        <v>77257.34</v>
      </c>
      <c r="AO40" s="37">
        <f>23351.82</f>
        <v>23351.82</v>
      </c>
      <c r="AP40" s="37">
        <f>-54.42+71114.52+110367.83+176667.36</f>
        <v>358095.29</v>
      </c>
      <c r="AQ40" s="37">
        <f>135183.52</f>
        <v>135183.52</v>
      </c>
      <c r="AR40" s="37">
        <f>65678.43+139827.6</f>
        <v>205506.03</v>
      </c>
      <c r="AS40" s="37"/>
      <c r="AT40" s="15">
        <f aca="true" t="shared" si="31" ref="AT40:AT46">SUM(AU40:AY40)</f>
        <v>-115.57350000001807</v>
      </c>
      <c r="AU40" s="37">
        <f>(L40-AG40)*E40</f>
        <v>0</v>
      </c>
      <c r="AV40" s="37">
        <f>(M40-AH40)*F40</f>
        <v>0</v>
      </c>
      <c r="AW40" s="37">
        <f>(N40-AI40)*G40</f>
        <v>0</v>
      </c>
      <c r="AX40" s="37">
        <f>(O40-AJ40)*H40</f>
        <v>0</v>
      </c>
      <c r="AY40" s="37">
        <f>(P40-AK40)*I40</f>
        <v>-115.57350000001807</v>
      </c>
      <c r="AZ40" s="37"/>
    </row>
    <row r="41" spans="1:52" ht="47.25" customHeight="1">
      <c r="A41" s="38"/>
      <c r="B41" s="43" t="s">
        <v>29</v>
      </c>
      <c r="C41" s="10"/>
      <c r="D41" s="15">
        <f t="shared" si="27"/>
        <v>3093.55</v>
      </c>
      <c r="E41" s="13"/>
      <c r="F41" s="13"/>
      <c r="G41" s="13"/>
      <c r="H41" s="65">
        <v>3093.55</v>
      </c>
      <c r="I41" s="13"/>
      <c r="J41" s="13"/>
      <c r="K41" s="14">
        <f t="shared" si="18"/>
        <v>13.581800843690905</v>
      </c>
      <c r="L41" s="37"/>
      <c r="M41" s="37"/>
      <c r="N41" s="37"/>
      <c r="O41" s="37">
        <v>13.58</v>
      </c>
      <c r="P41" s="37"/>
      <c r="Q41" s="37"/>
      <c r="R41" s="15">
        <f t="shared" si="28"/>
        <v>42015.98</v>
      </c>
      <c r="S41" s="13"/>
      <c r="T41" s="13"/>
      <c r="U41" s="13"/>
      <c r="V41" s="13">
        <v>42015.98</v>
      </c>
      <c r="W41" s="13"/>
      <c r="X41" s="37"/>
      <c r="Y41" s="67">
        <f t="shared" si="29"/>
        <v>3268.040500736377</v>
      </c>
      <c r="Z41" s="97"/>
      <c r="AA41" s="65"/>
      <c r="AB41" s="97"/>
      <c r="AC41" s="97">
        <f>AQ41/AJ41</f>
        <v>3268.040500736377</v>
      </c>
      <c r="AD41" s="97"/>
      <c r="AE41" s="97"/>
      <c r="AF41" s="14">
        <f>AJ41</f>
        <v>13.58</v>
      </c>
      <c r="AG41" s="37"/>
      <c r="AH41" s="37"/>
      <c r="AI41" s="13"/>
      <c r="AJ41" s="13">
        <v>13.58</v>
      </c>
      <c r="AK41" s="13"/>
      <c r="AL41" s="37"/>
      <c r="AM41" s="15">
        <f t="shared" si="30"/>
        <v>44379.99</v>
      </c>
      <c r="AN41" s="13"/>
      <c r="AO41" s="13"/>
      <c r="AP41" s="13"/>
      <c r="AQ41" s="13">
        <f>22.38+30100.73+14256.88</f>
        <v>44379.99</v>
      </c>
      <c r="AR41" s="13"/>
      <c r="AS41" s="37"/>
      <c r="AT41" s="15">
        <f t="shared" si="31"/>
        <v>0</v>
      </c>
      <c r="AU41" s="37"/>
      <c r="AV41" s="37"/>
      <c r="AW41" s="37"/>
      <c r="AX41" s="37"/>
      <c r="AY41" s="37"/>
      <c r="AZ41" s="13"/>
    </row>
    <row r="42" spans="1:52" ht="47.25" customHeight="1">
      <c r="A42" s="38"/>
      <c r="B42" s="43" t="s">
        <v>55</v>
      </c>
      <c r="C42" s="10"/>
      <c r="D42" s="15"/>
      <c r="E42" s="37"/>
      <c r="F42" s="37"/>
      <c r="G42" s="37"/>
      <c r="H42" s="97"/>
      <c r="I42" s="37"/>
      <c r="J42" s="37"/>
      <c r="K42" s="14" t="e">
        <f t="shared" si="18"/>
        <v>#DIV/0!</v>
      </c>
      <c r="L42" s="37"/>
      <c r="M42" s="37">
        <v>13.58</v>
      </c>
      <c r="N42" s="37"/>
      <c r="O42" s="37"/>
      <c r="P42" s="37"/>
      <c r="Q42" s="37"/>
      <c r="R42" s="15"/>
      <c r="S42" s="13"/>
      <c r="T42" s="13"/>
      <c r="U42" s="13"/>
      <c r="V42" s="13"/>
      <c r="W42" s="13"/>
      <c r="X42" s="37"/>
      <c r="Y42" s="67">
        <f>AA42</f>
        <v>10</v>
      </c>
      <c r="Z42" s="97"/>
      <c r="AA42" s="97">
        <f>AO42/AH42</f>
        <v>10</v>
      </c>
      <c r="AB42" s="97"/>
      <c r="AC42" s="97"/>
      <c r="AD42" s="97"/>
      <c r="AE42" s="97"/>
      <c r="AF42" s="14">
        <f>AH42</f>
        <v>19.8</v>
      </c>
      <c r="AG42" s="37"/>
      <c r="AH42" s="37">
        <v>19.8</v>
      </c>
      <c r="AI42" s="13"/>
      <c r="AJ42" s="13"/>
      <c r="AK42" s="13"/>
      <c r="AL42" s="37"/>
      <c r="AM42" s="15">
        <f>AO42</f>
        <v>198</v>
      </c>
      <c r="AN42" s="13"/>
      <c r="AO42" s="13">
        <v>198</v>
      </c>
      <c r="AP42" s="13"/>
      <c r="AQ42" s="13"/>
      <c r="AR42" s="13"/>
      <c r="AS42" s="37"/>
      <c r="AT42" s="15"/>
      <c r="AU42" s="37"/>
      <c r="AV42" s="37"/>
      <c r="AW42" s="37"/>
      <c r="AX42" s="37"/>
      <c r="AY42" s="37"/>
      <c r="AZ42" s="13"/>
    </row>
    <row r="43" spans="1:52" s="4" customFormat="1" ht="39.75" customHeight="1">
      <c r="A43" s="66"/>
      <c r="B43" s="39" t="s">
        <v>44</v>
      </c>
      <c r="C43" s="39"/>
      <c r="D43" s="15">
        <f>SUM(E43:I43)</f>
        <v>0</v>
      </c>
      <c r="E43" s="37"/>
      <c r="F43" s="37"/>
      <c r="G43" s="37"/>
      <c r="H43" s="37"/>
      <c r="I43" s="37"/>
      <c r="J43" s="37"/>
      <c r="K43" s="14" t="e">
        <f t="shared" si="18"/>
        <v>#DIV/0!</v>
      </c>
      <c r="L43" s="13"/>
      <c r="M43" s="37"/>
      <c r="N43" s="13"/>
      <c r="O43" s="139"/>
      <c r="P43" s="37"/>
      <c r="Q43" s="37"/>
      <c r="R43" s="15">
        <f>SUM(S43:W43)</f>
        <v>0</v>
      </c>
      <c r="S43" s="13"/>
      <c r="T43" s="13"/>
      <c r="U43" s="13"/>
      <c r="V43" s="13"/>
      <c r="W43" s="13"/>
      <c r="X43" s="37"/>
      <c r="Y43" s="67">
        <f>SUM(Z43:AD43)</f>
        <v>0</v>
      </c>
      <c r="Z43" s="97"/>
      <c r="AA43" s="97"/>
      <c r="AB43" s="97"/>
      <c r="AC43" s="97"/>
      <c r="AD43" s="97"/>
      <c r="AE43" s="97"/>
      <c r="AF43" s="14">
        <f>AJ43</f>
        <v>0</v>
      </c>
      <c r="AG43" s="37"/>
      <c r="AH43" s="37"/>
      <c r="AI43" s="13"/>
      <c r="AJ43" s="127"/>
      <c r="AK43" s="13"/>
      <c r="AL43" s="37"/>
      <c r="AM43" s="15">
        <f>SUM(AN43:AR43)</f>
        <v>0</v>
      </c>
      <c r="AN43" s="13"/>
      <c r="AO43" s="13"/>
      <c r="AP43" s="13"/>
      <c r="AQ43" s="13"/>
      <c r="AR43" s="13"/>
      <c r="AS43" s="37"/>
      <c r="AT43" s="15">
        <f>SUM(AU43:AY43)</f>
        <v>0</v>
      </c>
      <c r="AU43" s="37"/>
      <c r="AV43" s="37"/>
      <c r="AW43" s="37"/>
      <c r="AX43" s="37"/>
      <c r="AY43" s="37"/>
      <c r="AZ43" s="13"/>
    </row>
    <row r="44" spans="1:52" ht="43.5" customHeight="1">
      <c r="A44" s="66"/>
      <c r="B44" s="39" t="s">
        <v>26</v>
      </c>
      <c r="C44" s="39"/>
      <c r="D44" s="64">
        <f>SUM(E44:I44)</f>
        <v>1285.9250000000002</v>
      </c>
      <c r="E44" s="125"/>
      <c r="F44" s="125"/>
      <c r="G44" s="125"/>
      <c r="H44" s="125"/>
      <c r="I44" s="128">
        <f>W44/P44</f>
        <v>1285.9250000000002</v>
      </c>
      <c r="J44" s="13"/>
      <c r="K44" s="126">
        <f t="shared" si="18"/>
        <v>18</v>
      </c>
      <c r="L44" s="13"/>
      <c r="M44" s="13"/>
      <c r="N44" s="13"/>
      <c r="O44" s="13"/>
      <c r="P44" s="13">
        <v>18</v>
      </c>
      <c r="Q44" s="13"/>
      <c r="R44" s="14">
        <f>SUM(S44:W44)</f>
        <v>23146.65</v>
      </c>
      <c r="S44" s="13"/>
      <c r="T44" s="13"/>
      <c r="U44" s="13"/>
      <c r="V44" s="13"/>
      <c r="W44" s="13">
        <v>23146.65</v>
      </c>
      <c r="X44" s="13"/>
      <c r="Y44" s="64">
        <f>SUM(Z44:AD44)</f>
        <v>1285.9250000000002</v>
      </c>
      <c r="Z44" s="65"/>
      <c r="AA44" s="65"/>
      <c r="AB44" s="65"/>
      <c r="AC44" s="65"/>
      <c r="AD44" s="65">
        <f>AR44/AK44</f>
        <v>1285.9250000000002</v>
      </c>
      <c r="AE44" s="65"/>
      <c r="AF44" s="14">
        <f>AK44</f>
        <v>18</v>
      </c>
      <c r="AG44" s="13"/>
      <c r="AH44" s="13"/>
      <c r="AI44" s="13"/>
      <c r="AJ44" s="13"/>
      <c r="AK44" s="13">
        <v>18</v>
      </c>
      <c r="AL44" s="13"/>
      <c r="AM44" s="14">
        <f>SUM(AN44:AR44)</f>
        <v>23146.65</v>
      </c>
      <c r="AN44" s="13"/>
      <c r="AO44" s="13"/>
      <c r="AP44" s="13"/>
      <c r="AQ44" s="13"/>
      <c r="AR44" s="13">
        <f>8790.45+14356.2</f>
        <v>23146.65</v>
      </c>
      <c r="AS44" s="13"/>
      <c r="AT44" s="14">
        <f>SUM(AU44:AY44)</f>
        <v>0</v>
      </c>
      <c r="AU44" s="37"/>
      <c r="AV44" s="37"/>
      <c r="AW44" s="37"/>
      <c r="AX44" s="37"/>
      <c r="AY44" s="37">
        <f>(P44-AK44)*I44</f>
        <v>0</v>
      </c>
      <c r="AZ44" s="13"/>
    </row>
    <row r="45" spans="1:52" ht="81.75" customHeight="1">
      <c r="A45" s="9"/>
      <c r="B45" s="43" t="s">
        <v>27</v>
      </c>
      <c r="C45" s="10"/>
      <c r="D45" s="15">
        <f t="shared" si="27"/>
        <v>10020</v>
      </c>
      <c r="E45" s="97">
        <f>S45/L45</f>
        <v>5416.900000000001</v>
      </c>
      <c r="F45" s="97">
        <v>4603.1</v>
      </c>
      <c r="G45" s="37"/>
      <c r="H45" s="37"/>
      <c r="I45" s="37"/>
      <c r="J45" s="37"/>
      <c r="K45" s="15">
        <f t="shared" si="18"/>
        <v>18.75705988023952</v>
      </c>
      <c r="L45" s="37">
        <v>17.7</v>
      </c>
      <c r="M45" s="37">
        <v>20</v>
      </c>
      <c r="N45" s="37"/>
      <c r="O45" s="37"/>
      <c r="P45" s="37"/>
      <c r="Q45" s="37"/>
      <c r="R45" s="15">
        <f t="shared" si="28"/>
        <v>187945.74</v>
      </c>
      <c r="S45" s="37">
        <v>95879.13</v>
      </c>
      <c r="T45" s="37">
        <v>92066.61</v>
      </c>
      <c r="U45" s="37"/>
      <c r="V45" s="37"/>
      <c r="W45" s="37"/>
      <c r="X45" s="37"/>
      <c r="Y45" s="67">
        <f t="shared" si="29"/>
        <v>9884.217146892655</v>
      </c>
      <c r="Z45" s="97">
        <f>AN45/AG45</f>
        <v>5281.062146892656</v>
      </c>
      <c r="AA45" s="97">
        <f>ROUND(AO45/AH45,3)</f>
        <v>4603.155</v>
      </c>
      <c r="AB45" s="97"/>
      <c r="AC45" s="97"/>
      <c r="AD45" s="97"/>
      <c r="AE45" s="97"/>
      <c r="AF45" s="15">
        <f>AM45/Y45</f>
        <v>18.771126457731494</v>
      </c>
      <c r="AG45" s="37">
        <v>17.7</v>
      </c>
      <c r="AH45" s="37">
        <v>20</v>
      </c>
      <c r="AI45" s="37"/>
      <c r="AJ45" s="37"/>
      <c r="AK45" s="37"/>
      <c r="AL45" s="37"/>
      <c r="AM45" s="15">
        <f>SUM(AN45:AS45)</f>
        <v>185537.89</v>
      </c>
      <c r="AN45" s="37">
        <f>10713.14+82761.66</f>
        <v>93474.8</v>
      </c>
      <c r="AO45" s="37">
        <f>29604.76+62458.33</f>
        <v>92063.09</v>
      </c>
      <c r="AP45" s="37"/>
      <c r="AQ45" s="37"/>
      <c r="AR45" s="37"/>
      <c r="AS45" s="37"/>
      <c r="AT45" s="15">
        <f t="shared" si="31"/>
        <v>0</v>
      </c>
      <c r="AU45" s="37">
        <f>(L45-AG45)*E45</f>
        <v>0</v>
      </c>
      <c r="AV45" s="37">
        <f>(M45-AH45)*F45</f>
        <v>0</v>
      </c>
      <c r="AW45" s="37"/>
      <c r="AX45" s="37"/>
      <c r="AY45" s="37"/>
      <c r="AZ45" s="13"/>
    </row>
    <row r="46" spans="1:52" ht="81.75" customHeight="1" thickBot="1">
      <c r="A46" s="38"/>
      <c r="B46" s="39" t="s">
        <v>28</v>
      </c>
      <c r="C46" s="40"/>
      <c r="D46" s="15">
        <f t="shared" si="27"/>
        <v>18396</v>
      </c>
      <c r="E46" s="13"/>
      <c r="F46" s="65">
        <v>18396</v>
      </c>
      <c r="G46" s="37"/>
      <c r="H46" s="37"/>
      <c r="I46" s="37"/>
      <c r="J46" s="37"/>
      <c r="K46" s="14">
        <f t="shared" si="18"/>
        <v>20.001000217438573</v>
      </c>
      <c r="L46" s="13"/>
      <c r="M46" s="139">
        <v>20</v>
      </c>
      <c r="N46" s="37"/>
      <c r="O46" s="37"/>
      <c r="P46" s="37"/>
      <c r="Q46" s="37"/>
      <c r="R46" s="15">
        <f t="shared" si="28"/>
        <v>367938.4</v>
      </c>
      <c r="S46" s="13"/>
      <c r="T46" s="13">
        <v>367938.4</v>
      </c>
      <c r="U46" s="13"/>
      <c r="V46" s="13"/>
      <c r="W46" s="13"/>
      <c r="X46" s="37"/>
      <c r="Y46" s="67">
        <f t="shared" si="29"/>
        <v>18396</v>
      </c>
      <c r="Z46" s="97"/>
      <c r="AA46" s="97">
        <f>ROUND(AO46/AH46,0)</f>
        <v>18396</v>
      </c>
      <c r="AB46" s="97" t="s">
        <v>34</v>
      </c>
      <c r="AC46" s="97"/>
      <c r="AD46" s="97"/>
      <c r="AE46" s="97"/>
      <c r="AF46" s="14">
        <f>AH46</f>
        <v>20</v>
      </c>
      <c r="AG46" s="37"/>
      <c r="AH46" s="37">
        <v>20</v>
      </c>
      <c r="AI46" s="13"/>
      <c r="AJ46" s="13"/>
      <c r="AK46" s="13"/>
      <c r="AL46" s="37"/>
      <c r="AM46" s="15">
        <f t="shared" si="30"/>
        <v>367916.08</v>
      </c>
      <c r="AN46" s="13"/>
      <c r="AO46" s="13">
        <f>130807.08+237109</f>
        <v>367916.08</v>
      </c>
      <c r="AP46" s="13"/>
      <c r="AQ46" s="13"/>
      <c r="AR46" s="13"/>
      <c r="AS46" s="37"/>
      <c r="AT46" s="15">
        <f t="shared" si="31"/>
        <v>0</v>
      </c>
      <c r="AU46" s="37"/>
      <c r="AV46" s="37">
        <f>(M46-AH46)*F46</f>
        <v>0</v>
      </c>
      <c r="AW46" s="37"/>
      <c r="AX46" s="37"/>
      <c r="AY46" s="37"/>
      <c r="AZ46" s="13"/>
    </row>
    <row r="47" spans="1:65" s="91" customFormat="1" ht="27.75" customHeight="1" thickBot="1">
      <c r="A47" s="88"/>
      <c r="B47" s="89" t="s">
        <v>54</v>
      </c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>
        <f aca="true" t="shared" si="32" ref="R47:X47">R37+R27+R19+R7</f>
        <v>5118628.39</v>
      </c>
      <c r="S47" s="90">
        <f t="shared" si="32"/>
        <v>410144.88000000006</v>
      </c>
      <c r="T47" s="90">
        <f t="shared" si="32"/>
        <v>2415630.77</v>
      </c>
      <c r="U47" s="90">
        <f t="shared" si="32"/>
        <v>1062271.18</v>
      </c>
      <c r="V47" s="90">
        <f t="shared" si="32"/>
        <v>393336.41000000003</v>
      </c>
      <c r="W47" s="90">
        <f t="shared" si="32"/>
        <v>805529.1699999999</v>
      </c>
      <c r="X47" s="90">
        <f t="shared" si="32"/>
        <v>31715.98</v>
      </c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>
        <f aca="true" t="shared" si="33" ref="AM47:AZ47">AM37+AM27+AM19+AM7</f>
        <v>5175137.899999999</v>
      </c>
      <c r="AN47" s="90">
        <f t="shared" si="33"/>
        <v>411892.34</v>
      </c>
      <c r="AO47" s="90">
        <f t="shared" si="33"/>
        <v>2480460.04</v>
      </c>
      <c r="AP47" s="90">
        <f t="shared" si="33"/>
        <v>1067277.68</v>
      </c>
      <c r="AQ47" s="90">
        <f t="shared" si="33"/>
        <v>396593.22</v>
      </c>
      <c r="AR47" s="90">
        <f t="shared" si="33"/>
        <v>787201.45</v>
      </c>
      <c r="AS47" s="90">
        <f t="shared" si="33"/>
        <v>31713.17</v>
      </c>
      <c r="AT47" s="90">
        <f t="shared" si="33"/>
        <v>-54416.37816999999</v>
      </c>
      <c r="AU47" s="90">
        <f t="shared" si="33"/>
        <v>6.052631999994495</v>
      </c>
      <c r="AV47" s="90">
        <f t="shared" si="33"/>
        <v>-62479.40919999999</v>
      </c>
      <c r="AW47" s="90">
        <f t="shared" si="33"/>
        <v>2.6863900000013743</v>
      </c>
      <c r="AX47" s="90">
        <f t="shared" si="33"/>
        <v>0</v>
      </c>
      <c r="AY47" s="90">
        <f t="shared" si="33"/>
        <v>8055.695008000001</v>
      </c>
      <c r="AZ47" s="90">
        <f t="shared" si="33"/>
        <v>-1.4029999999987242</v>
      </c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</row>
    <row r="48" spans="5:25" ht="25.5" customHeight="1">
      <c r="E48" s="6"/>
      <c r="Y48" s="6"/>
    </row>
    <row r="49" spans="2:57" ht="55.5" customHeight="1">
      <c r="B49" s="208"/>
      <c r="C49" s="208"/>
      <c r="D49" s="208"/>
      <c r="E49" s="208"/>
      <c r="U49" s="208"/>
      <c r="V49" s="208"/>
      <c r="W49" s="94"/>
      <c r="X49" s="94"/>
      <c r="Y49" s="94"/>
      <c r="Z49" s="94"/>
      <c r="AT49" s="213" t="s">
        <v>19</v>
      </c>
      <c r="AU49" s="213"/>
      <c r="AV49" s="213"/>
      <c r="AW49" s="213"/>
      <c r="AY49" s="214" t="s">
        <v>45</v>
      </c>
      <c r="AZ49" s="214"/>
      <c r="BA49" s="208"/>
      <c r="BB49" s="208"/>
      <c r="BC49" s="208"/>
      <c r="BD49" s="208"/>
      <c r="BE49" s="208"/>
    </row>
    <row r="50" spans="5:26" ht="55.5" customHeight="1">
      <c r="E50" s="6"/>
      <c r="Y50" s="6"/>
      <c r="Z50" s="6"/>
    </row>
    <row r="51" spans="5:54" ht="26.25">
      <c r="E51" s="6"/>
      <c r="Y51" s="6"/>
      <c r="Z51" s="6"/>
      <c r="AT51" s="6"/>
      <c r="AV51" s="93"/>
      <c r="BA51" s="6"/>
      <c r="BB51" s="6"/>
    </row>
    <row r="52" spans="5:26" ht="26.25">
      <c r="E52" s="6"/>
      <c r="Y52" s="6"/>
      <c r="Z52" s="6"/>
    </row>
    <row r="53" spans="5:26" ht="26.25">
      <c r="E53" s="6"/>
      <c r="Y53" s="6"/>
      <c r="Z53" s="6"/>
    </row>
    <row r="54" spans="5:26" ht="26.25">
      <c r="E54" s="6"/>
      <c r="Y54" s="6"/>
      <c r="Z54" s="6"/>
    </row>
    <row r="55" spans="5:26" ht="26.25">
      <c r="E55" s="6"/>
      <c r="Y55" s="6"/>
      <c r="Z55" s="6"/>
    </row>
    <row r="56" spans="5:26" ht="26.25">
      <c r="E56" s="6"/>
      <c r="Y56" s="6"/>
      <c r="Z56" s="6"/>
    </row>
    <row r="57" spans="5:26" ht="26.25">
      <c r="E57" s="6"/>
      <c r="Y57" s="6"/>
      <c r="Z57" s="6"/>
    </row>
    <row r="58" spans="5:26" ht="26.25">
      <c r="E58" s="6"/>
      <c r="Y58" s="6"/>
      <c r="Z58" s="6"/>
    </row>
    <row r="59" spans="5:26" ht="26.25">
      <c r="E59" s="6"/>
      <c r="Y59" s="6"/>
      <c r="Z59" s="6"/>
    </row>
    <row r="60" spans="5:26" ht="26.25">
      <c r="E60" s="6"/>
      <c r="Y60" s="6"/>
      <c r="Z60" s="6"/>
    </row>
    <row r="61" spans="5:26" ht="26.25">
      <c r="E61" s="6"/>
      <c r="Y61" s="6"/>
      <c r="Z61" s="6"/>
    </row>
    <row r="62" spans="5:26" ht="26.25">
      <c r="E62" s="6"/>
      <c r="Y62" s="6"/>
      <c r="Z62" s="6"/>
    </row>
    <row r="63" spans="5:26" ht="26.25">
      <c r="E63" s="6"/>
      <c r="Y63" s="6"/>
      <c r="Z63" s="6"/>
    </row>
    <row r="64" spans="5:26" ht="26.25">
      <c r="E64" s="6"/>
      <c r="Y64" s="6"/>
      <c r="Z64" s="6"/>
    </row>
    <row r="65" spans="5:26" ht="26.25">
      <c r="E65" s="6"/>
      <c r="Y65" s="6"/>
      <c r="Z65" s="6"/>
    </row>
    <row r="66" spans="5:26" ht="26.25">
      <c r="E66" s="6"/>
      <c r="Y66" s="6"/>
      <c r="Z66" s="6"/>
    </row>
    <row r="67" spans="5:26" ht="26.25">
      <c r="E67" s="6"/>
      <c r="Y67" s="6"/>
      <c r="Z67" s="6"/>
    </row>
    <row r="68" spans="5:26" ht="26.25">
      <c r="E68" s="6"/>
      <c r="Y68" s="6"/>
      <c r="Z68" s="6"/>
    </row>
    <row r="69" spans="5:26" ht="26.25">
      <c r="E69" s="6"/>
      <c r="Y69" s="6"/>
      <c r="Z69" s="6"/>
    </row>
    <row r="70" spans="5:26" ht="26.25">
      <c r="E70" s="6"/>
      <c r="Y70" s="6"/>
      <c r="Z70" s="6"/>
    </row>
    <row r="71" spans="5:26" ht="26.25">
      <c r="E71" s="6"/>
      <c r="Y71" s="6"/>
      <c r="Z71" s="6"/>
    </row>
    <row r="72" spans="5:26" ht="26.25">
      <c r="E72" s="6"/>
      <c r="Y72" s="6"/>
      <c r="Z72" s="6"/>
    </row>
    <row r="73" spans="5:26" ht="26.25">
      <c r="E73" s="6"/>
      <c r="Y73" s="6"/>
      <c r="Z73" s="6"/>
    </row>
    <row r="74" spans="5:26" ht="26.25">
      <c r="E74" s="6"/>
      <c r="Y74" s="6"/>
      <c r="Z74" s="6"/>
    </row>
    <row r="75" spans="5:26" ht="26.25">
      <c r="E75" s="6"/>
      <c r="Y75" s="6"/>
      <c r="Z75" s="6"/>
    </row>
    <row r="76" spans="5:26" ht="26.25">
      <c r="E76" s="6"/>
      <c r="Y76" s="6"/>
      <c r="Z76" s="6"/>
    </row>
    <row r="77" spans="5:26" ht="26.25">
      <c r="E77" s="6"/>
      <c r="Y77" s="6"/>
      <c r="Z77" s="6"/>
    </row>
    <row r="78" spans="5:26" ht="26.25">
      <c r="E78" s="6"/>
      <c r="Y78" s="6"/>
      <c r="Z78" s="6"/>
    </row>
    <row r="79" spans="5:26" ht="26.25">
      <c r="E79" s="6"/>
      <c r="Y79" s="6"/>
      <c r="Z79" s="6"/>
    </row>
    <row r="80" spans="5:26" ht="26.25">
      <c r="E80" s="6"/>
      <c r="Y80" s="6"/>
      <c r="Z80" s="6"/>
    </row>
    <row r="81" spans="5:26" ht="26.25">
      <c r="E81" s="6"/>
      <c r="Y81" s="6"/>
      <c r="Z81" s="6"/>
    </row>
    <row r="82" spans="5:26" ht="26.25">
      <c r="E82" s="6"/>
      <c r="Y82" s="6"/>
      <c r="Z82" s="6"/>
    </row>
    <row r="83" spans="5:26" ht="26.25">
      <c r="E83" s="6"/>
      <c r="Y83" s="6"/>
      <c r="Z83" s="6"/>
    </row>
    <row r="84" spans="5:26" ht="26.25">
      <c r="E84" s="6"/>
      <c r="Y84" s="6"/>
      <c r="Z84" s="6"/>
    </row>
    <row r="85" spans="5:26" ht="26.25">
      <c r="E85" s="6"/>
      <c r="Y85" s="6"/>
      <c r="Z85" s="6"/>
    </row>
    <row r="86" spans="5:26" ht="26.25">
      <c r="E86" s="6"/>
      <c r="Y86" s="6"/>
      <c r="Z86" s="6"/>
    </row>
    <row r="87" spans="5:26" ht="26.25">
      <c r="E87" s="6"/>
      <c r="Y87" s="6"/>
      <c r="Z87" s="6"/>
    </row>
    <row r="88" spans="5:26" ht="26.25">
      <c r="E88" s="6"/>
      <c r="Y88" s="6"/>
      <c r="Z88" s="6"/>
    </row>
    <row r="89" spans="5:26" ht="26.25">
      <c r="E89" s="6"/>
      <c r="Y89" s="6"/>
      <c r="Z89" s="6"/>
    </row>
    <row r="90" spans="5:26" ht="26.25">
      <c r="E90" s="6"/>
      <c r="Y90" s="6"/>
      <c r="Z90" s="6"/>
    </row>
    <row r="91" spans="25:26" ht="26.25">
      <c r="Y91" s="6"/>
      <c r="Z91" s="6"/>
    </row>
    <row r="92" spans="25:26" ht="26.25">
      <c r="Y92" s="6"/>
      <c r="Z92" s="6"/>
    </row>
    <row r="93" spans="25:26" ht="26.25">
      <c r="Y93" s="6"/>
      <c r="Z93" s="6"/>
    </row>
    <row r="94" spans="25:26" ht="26.25">
      <c r="Y94" s="6"/>
      <c r="Z94" s="6"/>
    </row>
    <row r="95" spans="25:26" ht="26.25">
      <c r="Y95" s="6"/>
      <c r="Z95" s="6"/>
    </row>
    <row r="96" spans="25:26" ht="26.25">
      <c r="Y96" s="6"/>
      <c r="Z96" s="6"/>
    </row>
    <row r="97" spans="25:26" ht="26.25">
      <c r="Y97" s="6"/>
      <c r="Z97" s="6"/>
    </row>
    <row r="98" spans="25:26" ht="26.25">
      <c r="Y98" s="6"/>
      <c r="Z98" s="6"/>
    </row>
    <row r="99" spans="25:26" ht="26.25">
      <c r="Y99" s="6"/>
      <c r="Z99" s="6"/>
    </row>
    <row r="100" spans="25:26" ht="26.25">
      <c r="Y100" s="6"/>
      <c r="Z100" s="6"/>
    </row>
    <row r="101" spans="25:26" ht="26.25">
      <c r="Y101" s="6"/>
      <c r="Z101" s="6"/>
    </row>
    <row r="102" spans="25:26" ht="26.25">
      <c r="Y102" s="6"/>
      <c r="Z102" s="6"/>
    </row>
    <row r="103" spans="25:26" ht="26.25">
      <c r="Y103" s="6"/>
      <c r="Z103" s="6"/>
    </row>
    <row r="104" spans="25:26" ht="26.25">
      <c r="Y104" s="6"/>
      <c r="Z104" s="6"/>
    </row>
    <row r="105" spans="25:26" ht="26.25">
      <c r="Y105" s="6"/>
      <c r="Z105" s="6"/>
    </row>
    <row r="106" spans="25:26" ht="26.25">
      <c r="Y106" s="6"/>
      <c r="Z106" s="6"/>
    </row>
    <row r="107" spans="25:26" ht="26.25">
      <c r="Y107" s="6"/>
      <c r="Z107" s="6"/>
    </row>
    <row r="108" spans="25:26" ht="26.25">
      <c r="Y108" s="6"/>
      <c r="Z108" s="6"/>
    </row>
    <row r="109" spans="25:26" ht="26.25">
      <c r="Y109" s="6"/>
      <c r="Z109" s="6"/>
    </row>
    <row r="110" spans="25:26" ht="26.25">
      <c r="Y110" s="6"/>
      <c r="Z110" s="6"/>
    </row>
    <row r="111" spans="25:26" ht="26.25">
      <c r="Y111" s="6"/>
      <c r="Z111" s="6"/>
    </row>
    <row r="112" spans="25:26" ht="26.25">
      <c r="Y112" s="6"/>
      <c r="Z112" s="6"/>
    </row>
    <row r="113" spans="25:26" ht="26.25">
      <c r="Y113" s="6"/>
      <c r="Z113" s="6"/>
    </row>
    <row r="114" spans="25:26" ht="26.25">
      <c r="Y114" s="6"/>
      <c r="Z114" s="6"/>
    </row>
    <row r="115" spans="25:26" ht="26.25">
      <c r="Y115" s="6"/>
      <c r="Z115" s="6"/>
    </row>
    <row r="116" spans="25:26" ht="26.25">
      <c r="Y116" s="6"/>
      <c r="Z116" s="6"/>
    </row>
    <row r="117" spans="25:26" ht="26.25">
      <c r="Y117" s="6"/>
      <c r="Z117" s="6"/>
    </row>
    <row r="118" spans="25:26" ht="26.25">
      <c r="Y118" s="6"/>
      <c r="Z118" s="6"/>
    </row>
    <row r="119" spans="25:26" ht="26.25">
      <c r="Y119" s="6"/>
      <c r="Z119" s="6"/>
    </row>
    <row r="120" spans="25:26" ht="26.25">
      <c r="Y120" s="6"/>
      <c r="Z120" s="6"/>
    </row>
    <row r="121" spans="25:26" ht="26.25">
      <c r="Y121" s="6"/>
      <c r="Z121" s="6"/>
    </row>
    <row r="122" spans="25:26" ht="26.25">
      <c r="Y122" s="6"/>
      <c r="Z122" s="6"/>
    </row>
    <row r="123" spans="25:26" ht="26.25">
      <c r="Y123" s="6"/>
      <c r="Z123" s="6"/>
    </row>
    <row r="124" spans="25:26" ht="26.25">
      <c r="Y124" s="6"/>
      <c r="Z124" s="6"/>
    </row>
    <row r="125" spans="25:26" ht="26.25">
      <c r="Y125" s="6"/>
      <c r="Z125" s="6"/>
    </row>
    <row r="126" spans="25:26" ht="26.25">
      <c r="Y126" s="6"/>
      <c r="Z126" s="6"/>
    </row>
    <row r="127" spans="25:26" ht="26.25">
      <c r="Y127" s="6"/>
      <c r="Z127" s="6"/>
    </row>
    <row r="128" spans="25:26" ht="26.25">
      <c r="Y128" s="6"/>
      <c r="Z128" s="6"/>
    </row>
    <row r="129" spans="25:26" ht="26.25">
      <c r="Y129" s="6"/>
      <c r="Z129" s="6"/>
    </row>
    <row r="130" spans="25:26" ht="26.25">
      <c r="Y130" s="6"/>
      <c r="Z130" s="6"/>
    </row>
    <row r="131" spans="25:26" ht="26.25">
      <c r="Y131" s="6"/>
      <c r="Z131" s="6"/>
    </row>
    <row r="132" spans="25:26" ht="26.25">
      <c r="Y132" s="6"/>
      <c r="Z132" s="6"/>
    </row>
    <row r="133" spans="25:26" ht="26.25">
      <c r="Y133" s="6"/>
      <c r="Z133" s="6"/>
    </row>
    <row r="134" spans="25:26" ht="26.25">
      <c r="Y134" s="6"/>
      <c r="Z134" s="6"/>
    </row>
    <row r="135" spans="25:26" ht="26.25">
      <c r="Y135" s="6"/>
      <c r="Z135" s="6"/>
    </row>
    <row r="136" spans="25:26" ht="26.25">
      <c r="Y136" s="6"/>
      <c r="Z136" s="6"/>
    </row>
    <row r="137" spans="25:26" ht="26.25">
      <c r="Y137" s="6"/>
      <c r="Z137" s="6"/>
    </row>
    <row r="138" spans="25:26" ht="26.25">
      <c r="Y138" s="6"/>
      <c r="Z138" s="6"/>
    </row>
    <row r="139" spans="25:26" ht="26.25">
      <c r="Y139" s="6"/>
      <c r="Z139" s="6"/>
    </row>
    <row r="140" spans="25:26" ht="26.25">
      <c r="Y140" s="6"/>
      <c r="Z140" s="6"/>
    </row>
    <row r="141" spans="25:26" ht="26.25">
      <c r="Y141" s="6"/>
      <c r="Z141" s="6"/>
    </row>
    <row r="142" spans="25:26" ht="26.25">
      <c r="Y142" s="6"/>
      <c r="Z142" s="6"/>
    </row>
    <row r="143" spans="25:26" ht="26.25">
      <c r="Y143" s="6"/>
      <c r="Z143" s="6"/>
    </row>
    <row r="144" spans="25:26" ht="26.25">
      <c r="Y144" s="6"/>
      <c r="Z144" s="6"/>
    </row>
    <row r="145" spans="25:26" ht="26.25">
      <c r="Y145" s="6"/>
      <c r="Z145" s="6"/>
    </row>
    <row r="146" spans="25:26" ht="26.25">
      <c r="Y146" s="6"/>
      <c r="Z146" s="6"/>
    </row>
    <row r="147" spans="25:26" ht="26.25">
      <c r="Y147" s="6"/>
      <c r="Z147" s="6"/>
    </row>
    <row r="148" spans="25:26" ht="26.25">
      <c r="Y148" s="6"/>
      <c r="Z148" s="6"/>
    </row>
    <row r="149" spans="25:26" ht="26.25">
      <c r="Y149" s="6"/>
      <c r="Z149" s="6"/>
    </row>
    <row r="150" spans="25:26" ht="26.25">
      <c r="Y150" s="6"/>
      <c r="Z150" s="6"/>
    </row>
    <row r="151" spans="25:26" ht="26.25">
      <c r="Y151" s="6"/>
      <c r="Z151" s="6"/>
    </row>
    <row r="152" spans="25:26" ht="26.25">
      <c r="Y152" s="6"/>
      <c r="Z152" s="6"/>
    </row>
    <row r="153" spans="25:26" ht="26.25">
      <c r="Y153" s="6"/>
      <c r="Z153" s="6"/>
    </row>
    <row r="154" spans="25:26" ht="26.25">
      <c r="Y154" s="6"/>
      <c r="Z154" s="6"/>
    </row>
    <row r="155" spans="25:26" ht="26.25">
      <c r="Y155" s="6"/>
      <c r="Z155" s="6"/>
    </row>
    <row r="156" spans="25:26" ht="26.25">
      <c r="Y156" s="6"/>
      <c r="Z156" s="6"/>
    </row>
    <row r="157" spans="25:26" ht="26.25">
      <c r="Y157" s="6"/>
      <c r="Z157" s="6"/>
    </row>
    <row r="158" spans="25:26" ht="26.25">
      <c r="Y158" s="6"/>
      <c r="Z158" s="6"/>
    </row>
    <row r="159" spans="25:26" ht="26.25">
      <c r="Y159" s="6"/>
      <c r="Z159" s="6"/>
    </row>
    <row r="160" spans="25:26" ht="26.25">
      <c r="Y160" s="6"/>
      <c r="Z160" s="6"/>
    </row>
    <row r="161" spans="25:26" ht="26.25">
      <c r="Y161" s="6"/>
      <c r="Z161" s="6"/>
    </row>
    <row r="162" spans="25:26" ht="26.25">
      <c r="Y162" s="6"/>
      <c r="Z162" s="6"/>
    </row>
    <row r="163" spans="25:26" ht="26.25">
      <c r="Y163" s="6"/>
      <c r="Z163" s="6"/>
    </row>
    <row r="164" spans="25:26" ht="26.25">
      <c r="Y164" s="6"/>
      <c r="Z164" s="6"/>
    </row>
    <row r="165" spans="25:26" ht="26.25">
      <c r="Y165" s="6"/>
      <c r="Z165" s="6"/>
    </row>
    <row r="166" spans="25:26" ht="26.25">
      <c r="Y166" s="6"/>
      <c r="Z166" s="6"/>
    </row>
    <row r="167" spans="25:26" ht="26.25">
      <c r="Y167" s="6"/>
      <c r="Z167" s="6"/>
    </row>
    <row r="168" spans="25:26" ht="26.25">
      <c r="Y168" s="6"/>
      <c r="Z168" s="6"/>
    </row>
    <row r="169" spans="25:26" ht="26.25">
      <c r="Y169" s="6"/>
      <c r="Z169" s="6"/>
    </row>
    <row r="170" spans="25:26" ht="26.25">
      <c r="Y170" s="6"/>
      <c r="Z170" s="6"/>
    </row>
    <row r="171" spans="25:26" ht="26.25">
      <c r="Y171" s="6"/>
      <c r="Z171" s="6"/>
    </row>
    <row r="172" spans="25:26" ht="26.25">
      <c r="Y172" s="6"/>
      <c r="Z172" s="6"/>
    </row>
    <row r="173" spans="25:26" ht="26.25">
      <c r="Y173" s="6"/>
      <c r="Z173" s="6"/>
    </row>
    <row r="174" spans="25:26" ht="26.25">
      <c r="Y174" s="6"/>
      <c r="Z174" s="6"/>
    </row>
    <row r="175" spans="25:26" ht="26.25">
      <c r="Y175" s="6"/>
      <c r="Z175" s="6"/>
    </row>
    <row r="176" spans="25:26" ht="26.25">
      <c r="Y176" s="6"/>
      <c r="Z176" s="6"/>
    </row>
    <row r="177" spans="25:26" ht="26.25">
      <c r="Y177" s="6"/>
      <c r="Z177" s="6"/>
    </row>
    <row r="178" spans="25:26" ht="26.25">
      <c r="Y178" s="6"/>
      <c r="Z178" s="6"/>
    </row>
    <row r="179" spans="25:26" ht="26.25">
      <c r="Y179" s="6"/>
      <c r="Z179" s="6"/>
    </row>
    <row r="180" spans="25:26" ht="26.25">
      <c r="Y180" s="6"/>
      <c r="Z180" s="6"/>
    </row>
    <row r="181" spans="25:26" ht="26.25">
      <c r="Y181" s="6"/>
      <c r="Z181" s="6"/>
    </row>
    <row r="182" spans="25:26" ht="26.25">
      <c r="Y182" s="6"/>
      <c r="Z182" s="6"/>
    </row>
    <row r="183" spans="25:26" ht="26.25">
      <c r="Y183" s="6"/>
      <c r="Z183" s="6"/>
    </row>
    <row r="184" spans="25:26" ht="26.25">
      <c r="Y184" s="6"/>
      <c r="Z184" s="6"/>
    </row>
    <row r="185" spans="25:26" ht="26.25">
      <c r="Y185" s="6"/>
      <c r="Z185" s="6"/>
    </row>
    <row r="186" spans="25:26" ht="26.25">
      <c r="Y186" s="6"/>
      <c r="Z186" s="6"/>
    </row>
    <row r="187" spans="25:26" ht="26.25">
      <c r="Y187" s="6"/>
      <c r="Z187" s="6"/>
    </row>
    <row r="188" spans="25:26" ht="26.25">
      <c r="Y188" s="6"/>
      <c r="Z188" s="6"/>
    </row>
    <row r="189" spans="25:26" ht="26.25">
      <c r="Y189" s="6"/>
      <c r="Z189" s="6"/>
    </row>
    <row r="190" spans="25:26" ht="26.25">
      <c r="Y190" s="6"/>
      <c r="Z190" s="6"/>
    </row>
    <row r="191" spans="25:26" ht="26.25">
      <c r="Y191" s="6"/>
      <c r="Z191" s="6"/>
    </row>
    <row r="192" spans="25:26" ht="26.25">
      <c r="Y192" s="6"/>
      <c r="Z192" s="6"/>
    </row>
    <row r="193" spans="25:26" ht="26.25">
      <c r="Y193" s="6"/>
      <c r="Z193" s="6"/>
    </row>
    <row r="194" spans="25:26" ht="26.25">
      <c r="Y194" s="6"/>
      <c r="Z194" s="6"/>
    </row>
    <row r="195" spans="25:26" ht="26.25">
      <c r="Y195" s="6"/>
      <c r="Z195" s="6"/>
    </row>
    <row r="196" spans="25:26" ht="26.25">
      <c r="Y196" s="6"/>
      <c r="Z196" s="6"/>
    </row>
    <row r="197" spans="25:26" ht="26.25">
      <c r="Y197" s="6"/>
      <c r="Z197" s="6"/>
    </row>
    <row r="198" spans="25:26" ht="26.25">
      <c r="Y198" s="6"/>
      <c r="Z198" s="6"/>
    </row>
    <row r="199" spans="25:26" ht="26.25">
      <c r="Y199" s="6"/>
      <c r="Z199" s="6"/>
    </row>
    <row r="200" spans="25:26" ht="26.25">
      <c r="Y200" s="6"/>
      <c r="Z200" s="6"/>
    </row>
    <row r="201" spans="25:26" ht="26.25">
      <c r="Y201" s="6"/>
      <c r="Z201" s="6"/>
    </row>
    <row r="202" spans="25:26" ht="26.25">
      <c r="Y202" s="6"/>
      <c r="Z202" s="6"/>
    </row>
    <row r="203" spans="25:26" ht="26.25">
      <c r="Y203" s="6"/>
      <c r="Z203" s="6"/>
    </row>
    <row r="204" spans="25:26" ht="26.25">
      <c r="Y204" s="6"/>
      <c r="Z204" s="6"/>
    </row>
    <row r="205" spans="25:26" ht="26.25">
      <c r="Y205" s="6"/>
      <c r="Z205" s="6"/>
    </row>
    <row r="206" spans="25:26" ht="26.25">
      <c r="Y206" s="6"/>
      <c r="Z206" s="6"/>
    </row>
    <row r="207" spans="25:26" ht="26.25">
      <c r="Y207" s="6"/>
      <c r="Z207" s="6"/>
    </row>
    <row r="208" spans="25:26" ht="26.25">
      <c r="Y208" s="6"/>
      <c r="Z208" s="6"/>
    </row>
    <row r="209" spans="25:26" ht="26.25">
      <c r="Y209" s="6"/>
      <c r="Z209" s="6"/>
    </row>
    <row r="210" spans="25:26" ht="26.25">
      <c r="Y210" s="6"/>
      <c r="Z210" s="6"/>
    </row>
    <row r="211" spans="25:26" ht="26.25">
      <c r="Y211" s="6"/>
      <c r="Z211" s="6"/>
    </row>
    <row r="212" spans="25:26" ht="26.25">
      <c r="Y212" s="6"/>
      <c r="Z212" s="6"/>
    </row>
    <row r="213" spans="25:26" ht="26.25">
      <c r="Y213" s="6"/>
      <c r="Z213" s="6"/>
    </row>
    <row r="214" spans="25:26" ht="26.25">
      <c r="Y214" s="6"/>
      <c r="Z214" s="6"/>
    </row>
    <row r="215" spans="25:26" ht="26.25">
      <c r="Y215" s="6"/>
      <c r="Z215" s="6"/>
    </row>
    <row r="216" spans="25:26" ht="26.25">
      <c r="Y216" s="6"/>
      <c r="Z216" s="6"/>
    </row>
    <row r="217" spans="25:26" ht="26.25">
      <c r="Y217" s="6"/>
      <c r="Z217" s="6"/>
    </row>
    <row r="218" spans="25:26" ht="26.25">
      <c r="Y218" s="6"/>
      <c r="Z218" s="6"/>
    </row>
    <row r="219" spans="25:26" ht="26.25">
      <c r="Y219" s="6"/>
      <c r="Z219" s="6"/>
    </row>
    <row r="220" spans="25:26" ht="26.25">
      <c r="Y220" s="6"/>
      <c r="Z220" s="6"/>
    </row>
    <row r="221" spans="25:26" ht="26.25">
      <c r="Y221" s="6"/>
      <c r="Z221" s="6"/>
    </row>
    <row r="222" spans="25:26" ht="26.25">
      <c r="Y222" s="6"/>
      <c r="Z222" s="6"/>
    </row>
    <row r="223" spans="25:26" ht="26.25">
      <c r="Y223" s="6"/>
      <c r="Z223" s="6"/>
    </row>
    <row r="224" spans="25:26" ht="26.25">
      <c r="Y224" s="6"/>
      <c r="Z224" s="6"/>
    </row>
    <row r="225" spans="25:26" ht="26.25">
      <c r="Y225" s="6"/>
      <c r="Z225" s="6"/>
    </row>
    <row r="226" spans="25:26" ht="26.25">
      <c r="Y226" s="6"/>
      <c r="Z226" s="6"/>
    </row>
    <row r="227" spans="25:26" ht="26.25">
      <c r="Y227" s="6"/>
      <c r="Z227" s="6"/>
    </row>
    <row r="228" spans="25:26" ht="26.25">
      <c r="Y228" s="6"/>
      <c r="Z228" s="6"/>
    </row>
    <row r="229" spans="25:26" ht="26.25">
      <c r="Y229" s="6"/>
      <c r="Z229" s="6"/>
    </row>
    <row r="230" spans="25:26" ht="26.25">
      <c r="Y230" s="6"/>
      <c r="Z230" s="6"/>
    </row>
    <row r="231" spans="25:26" ht="26.25">
      <c r="Y231" s="6"/>
      <c r="Z231" s="6"/>
    </row>
    <row r="232" spans="25:26" ht="26.25">
      <c r="Y232" s="6"/>
      <c r="Z232" s="6"/>
    </row>
    <row r="233" spans="25:26" ht="26.25">
      <c r="Y233" s="6"/>
      <c r="Z233" s="6"/>
    </row>
    <row r="234" spans="25:26" ht="26.25">
      <c r="Y234" s="6"/>
      <c r="Z234" s="6"/>
    </row>
    <row r="235" spans="25:26" ht="26.25">
      <c r="Y235" s="6"/>
      <c r="Z235" s="6"/>
    </row>
    <row r="236" spans="25:26" ht="26.25">
      <c r="Y236" s="6"/>
      <c r="Z236" s="6"/>
    </row>
    <row r="237" spans="25:26" ht="26.25">
      <c r="Y237" s="6"/>
      <c r="Z237" s="6"/>
    </row>
    <row r="238" spans="25:26" ht="26.25">
      <c r="Y238" s="6"/>
      <c r="Z238" s="6"/>
    </row>
    <row r="239" spans="25:26" ht="26.25">
      <c r="Y239" s="6"/>
      <c r="Z239" s="6"/>
    </row>
    <row r="240" spans="25:26" ht="26.25">
      <c r="Y240" s="6"/>
      <c r="Z240" s="6"/>
    </row>
    <row r="241" spans="25:26" ht="26.25">
      <c r="Y241" s="6"/>
      <c r="Z241" s="6"/>
    </row>
    <row r="242" spans="25:26" ht="26.25">
      <c r="Y242" s="6"/>
      <c r="Z242" s="6"/>
    </row>
    <row r="243" spans="25:26" ht="26.25">
      <c r="Y243" s="6"/>
      <c r="Z243" s="6"/>
    </row>
    <row r="244" spans="25:26" ht="26.25">
      <c r="Y244" s="6"/>
      <c r="Z244" s="6"/>
    </row>
    <row r="245" spans="25:26" ht="26.25">
      <c r="Y245" s="6"/>
      <c r="Z245" s="6"/>
    </row>
    <row r="246" spans="25:26" ht="26.25">
      <c r="Y246" s="6"/>
      <c r="Z246" s="6"/>
    </row>
    <row r="247" spans="25:26" ht="26.25">
      <c r="Y247" s="6"/>
      <c r="Z247" s="6"/>
    </row>
    <row r="248" spans="25:26" ht="26.25">
      <c r="Y248" s="6"/>
      <c r="Z248" s="6"/>
    </row>
    <row r="249" spans="25:26" ht="26.25">
      <c r="Y249" s="6"/>
      <c r="Z249" s="6"/>
    </row>
    <row r="250" spans="25:26" ht="26.25">
      <c r="Y250" s="6"/>
      <c r="Z250" s="6"/>
    </row>
    <row r="251" spans="25:26" ht="26.25">
      <c r="Y251" s="6"/>
      <c r="Z251" s="6"/>
    </row>
    <row r="252" spans="25:26" ht="26.25">
      <c r="Y252" s="6"/>
      <c r="Z252" s="6"/>
    </row>
    <row r="253" spans="25:26" ht="26.25">
      <c r="Y253" s="6"/>
      <c r="Z253" s="6"/>
    </row>
    <row r="254" spans="25:26" ht="26.25">
      <c r="Y254" s="6"/>
      <c r="Z254" s="6"/>
    </row>
    <row r="255" spans="25:26" ht="26.25">
      <c r="Y255" s="6"/>
      <c r="Z255" s="6"/>
    </row>
    <row r="256" spans="25:26" ht="26.25">
      <c r="Y256" s="6"/>
      <c r="Z256" s="6"/>
    </row>
    <row r="257" spans="25:26" ht="26.25">
      <c r="Y257" s="6"/>
      <c r="Z257" s="6"/>
    </row>
    <row r="258" spans="25:26" ht="26.25">
      <c r="Y258" s="6"/>
      <c r="Z258" s="6"/>
    </row>
    <row r="259" spans="25:26" ht="26.25">
      <c r="Y259" s="6"/>
      <c r="Z259" s="6"/>
    </row>
    <row r="260" spans="25:26" ht="26.25">
      <c r="Y260" s="6"/>
      <c r="Z260" s="6"/>
    </row>
    <row r="261" spans="25:26" ht="26.25">
      <c r="Y261" s="6"/>
      <c r="Z261" s="6"/>
    </row>
    <row r="262" spans="25:26" ht="26.25">
      <c r="Y262" s="6"/>
      <c r="Z262" s="6"/>
    </row>
    <row r="263" spans="25:26" ht="26.25">
      <c r="Y263" s="6"/>
      <c r="Z263" s="6"/>
    </row>
    <row r="264" spans="25:26" ht="26.25">
      <c r="Y264" s="6"/>
      <c r="Z264" s="6"/>
    </row>
    <row r="265" spans="25:26" ht="26.25">
      <c r="Y265" s="6"/>
      <c r="Z265" s="6"/>
    </row>
    <row r="266" spans="25:26" ht="26.25">
      <c r="Y266" s="6"/>
      <c r="Z266" s="6"/>
    </row>
    <row r="267" spans="25:26" ht="26.25">
      <c r="Y267" s="6"/>
      <c r="Z267" s="6"/>
    </row>
    <row r="268" spans="25:26" ht="26.25">
      <c r="Y268" s="6"/>
      <c r="Z268" s="6"/>
    </row>
    <row r="269" spans="25:26" ht="26.25">
      <c r="Y269" s="6"/>
      <c r="Z269" s="6"/>
    </row>
    <row r="270" spans="25:26" ht="26.25">
      <c r="Y270" s="6"/>
      <c r="Z270" s="6"/>
    </row>
    <row r="271" spans="25:26" ht="26.25">
      <c r="Y271" s="6"/>
      <c r="Z271" s="6"/>
    </row>
    <row r="272" spans="25:26" ht="26.25">
      <c r="Y272" s="6"/>
      <c r="Z272" s="6"/>
    </row>
    <row r="273" spans="25:26" ht="26.25">
      <c r="Y273" s="6"/>
      <c r="Z273" s="6"/>
    </row>
    <row r="274" spans="25:26" ht="26.25">
      <c r="Y274" s="6"/>
      <c r="Z274" s="6"/>
    </row>
    <row r="275" spans="25:26" ht="26.25">
      <c r="Y275" s="6"/>
      <c r="Z275" s="6"/>
    </row>
    <row r="276" spans="25:26" ht="26.25">
      <c r="Y276" s="6"/>
      <c r="Z276" s="6"/>
    </row>
    <row r="277" spans="25:26" ht="26.25">
      <c r="Y277" s="6"/>
      <c r="Z277" s="6"/>
    </row>
    <row r="278" spans="25:26" ht="26.25">
      <c r="Y278" s="6"/>
      <c r="Z278" s="6"/>
    </row>
    <row r="279" spans="25:26" ht="26.25">
      <c r="Y279" s="6"/>
      <c r="Z279" s="6"/>
    </row>
    <row r="280" spans="25:26" ht="26.25">
      <c r="Y280" s="6"/>
      <c r="Z280" s="6"/>
    </row>
    <row r="281" spans="25:26" ht="26.25">
      <c r="Y281" s="6"/>
      <c r="Z281" s="6"/>
    </row>
    <row r="282" spans="25:26" ht="26.25">
      <c r="Y282" s="6"/>
      <c r="Z282" s="6"/>
    </row>
    <row r="283" spans="25:26" ht="26.25">
      <c r="Y283" s="6"/>
      <c r="Z283" s="6"/>
    </row>
    <row r="284" spans="25:26" ht="26.25">
      <c r="Y284" s="6"/>
      <c r="Z284" s="6"/>
    </row>
    <row r="285" spans="25:26" ht="26.25">
      <c r="Y285" s="6"/>
      <c r="Z285" s="6"/>
    </row>
    <row r="286" spans="25:26" ht="26.25">
      <c r="Y286" s="6"/>
      <c r="Z286" s="6"/>
    </row>
    <row r="287" spans="25:26" ht="26.25">
      <c r="Y287" s="6"/>
      <c r="Z287" s="6"/>
    </row>
    <row r="288" spans="25:26" ht="26.25">
      <c r="Y288" s="6"/>
      <c r="Z288" s="6"/>
    </row>
    <row r="289" spans="25:26" ht="26.25">
      <c r="Y289" s="6"/>
      <c r="Z289" s="6"/>
    </row>
    <row r="290" spans="25:26" ht="26.25">
      <c r="Y290" s="6"/>
      <c r="Z290" s="6"/>
    </row>
    <row r="291" spans="25:26" ht="26.25">
      <c r="Y291" s="6"/>
      <c r="Z291" s="6"/>
    </row>
    <row r="292" spans="25:26" ht="26.25">
      <c r="Y292" s="6"/>
      <c r="Z292" s="6"/>
    </row>
    <row r="293" spans="25:26" ht="26.25">
      <c r="Y293" s="6"/>
      <c r="Z293" s="6"/>
    </row>
    <row r="294" spans="25:26" ht="26.25">
      <c r="Y294" s="6"/>
      <c r="Z294" s="6"/>
    </row>
    <row r="295" spans="25:26" ht="26.25">
      <c r="Y295" s="6"/>
      <c r="Z295" s="6"/>
    </row>
    <row r="296" spans="25:26" ht="26.25">
      <c r="Y296" s="6"/>
      <c r="Z296" s="6"/>
    </row>
    <row r="297" spans="25:26" ht="26.25">
      <c r="Y297" s="6"/>
      <c r="Z297" s="6"/>
    </row>
    <row r="298" spans="25:26" ht="26.25">
      <c r="Y298" s="6"/>
      <c r="Z298" s="6"/>
    </row>
    <row r="299" spans="25:26" ht="26.25">
      <c r="Y299" s="6"/>
      <c r="Z299" s="6"/>
    </row>
    <row r="300" spans="25:26" ht="26.25">
      <c r="Y300" s="6"/>
      <c r="Z300" s="6"/>
    </row>
    <row r="301" spans="25:26" ht="26.25">
      <c r="Y301" s="6"/>
      <c r="Z301" s="6"/>
    </row>
    <row r="302" spans="25:26" ht="26.25">
      <c r="Y302" s="6"/>
      <c r="Z302" s="6"/>
    </row>
    <row r="303" spans="25:26" ht="26.25">
      <c r="Y303" s="6"/>
      <c r="Z303" s="6"/>
    </row>
    <row r="304" spans="25:26" ht="26.25">
      <c r="Y304" s="6"/>
      <c r="Z304" s="6"/>
    </row>
    <row r="305" spans="25:26" ht="26.25">
      <c r="Y305" s="6"/>
      <c r="Z305" s="6"/>
    </row>
    <row r="306" spans="25:26" ht="26.25">
      <c r="Y306" s="6"/>
      <c r="Z306" s="6"/>
    </row>
    <row r="307" spans="25:26" ht="26.25">
      <c r="Y307" s="6"/>
      <c r="Z307" s="6"/>
    </row>
    <row r="308" spans="25:26" ht="26.25">
      <c r="Y308" s="6"/>
      <c r="Z308" s="6"/>
    </row>
    <row r="309" spans="25:26" ht="26.25">
      <c r="Y309" s="6"/>
      <c r="Z309" s="6"/>
    </row>
    <row r="310" spans="25:26" ht="26.25">
      <c r="Y310" s="6"/>
      <c r="Z310" s="6"/>
    </row>
    <row r="311" spans="25:26" ht="26.25">
      <c r="Y311" s="6"/>
      <c r="Z311" s="6"/>
    </row>
    <row r="312" spans="25:26" ht="26.25">
      <c r="Y312" s="6"/>
      <c r="Z312" s="6"/>
    </row>
    <row r="313" spans="25:26" ht="26.25">
      <c r="Y313" s="6"/>
      <c r="Z313" s="6"/>
    </row>
    <row r="314" spans="25:26" ht="26.25">
      <c r="Y314" s="6"/>
      <c r="Z314" s="6"/>
    </row>
    <row r="315" spans="25:26" ht="26.25">
      <c r="Y315" s="6"/>
      <c r="Z315" s="6"/>
    </row>
    <row r="316" spans="25:26" ht="26.25">
      <c r="Y316" s="6"/>
      <c r="Z316" s="6"/>
    </row>
    <row r="317" spans="25:26" ht="26.25">
      <c r="Y317" s="6"/>
      <c r="Z317" s="6"/>
    </row>
    <row r="318" spans="25:26" ht="26.25">
      <c r="Y318" s="6"/>
      <c r="Z318" s="6"/>
    </row>
    <row r="319" spans="25:26" ht="26.25">
      <c r="Y319" s="6"/>
      <c r="Z319" s="6"/>
    </row>
    <row r="320" spans="25:26" ht="26.25">
      <c r="Y320" s="6"/>
      <c r="Z320" s="6"/>
    </row>
    <row r="321" spans="25:26" ht="26.25">
      <c r="Y321" s="6"/>
      <c r="Z321" s="6"/>
    </row>
    <row r="322" spans="25:26" ht="26.25">
      <c r="Y322" s="6"/>
      <c r="Z322" s="6"/>
    </row>
    <row r="323" spans="25:26" ht="26.25">
      <c r="Y323" s="6"/>
      <c r="Z323" s="6"/>
    </row>
    <row r="324" spans="25:26" ht="26.25">
      <c r="Y324" s="6"/>
      <c r="Z324" s="6"/>
    </row>
    <row r="325" spans="25:26" ht="26.25">
      <c r="Y325" s="6"/>
      <c r="Z325" s="6"/>
    </row>
    <row r="326" spans="25:26" ht="26.25">
      <c r="Y326" s="6"/>
      <c r="Z326" s="6"/>
    </row>
    <row r="327" spans="25:26" ht="26.25">
      <c r="Y327" s="6"/>
      <c r="Z327" s="6"/>
    </row>
    <row r="328" spans="25:26" ht="26.25">
      <c r="Y328" s="6"/>
      <c r="Z328" s="6"/>
    </row>
    <row r="329" spans="25:26" ht="26.25">
      <c r="Y329" s="6"/>
      <c r="Z329" s="6"/>
    </row>
    <row r="330" spans="25:26" ht="26.25">
      <c r="Y330" s="6"/>
      <c r="Z330" s="6"/>
    </row>
    <row r="331" spans="25:26" ht="26.25">
      <c r="Y331" s="6"/>
      <c r="Z331" s="6"/>
    </row>
    <row r="332" spans="25:26" ht="26.25">
      <c r="Y332" s="6"/>
      <c r="Z332" s="6"/>
    </row>
    <row r="333" spans="25:26" ht="26.25">
      <c r="Y333" s="6"/>
      <c r="Z333" s="6"/>
    </row>
    <row r="334" spans="25:26" ht="26.25">
      <c r="Y334" s="6"/>
      <c r="Z334" s="6"/>
    </row>
    <row r="335" spans="25:26" ht="26.25">
      <c r="Y335" s="6"/>
      <c r="Z335" s="6"/>
    </row>
    <row r="336" spans="25:26" ht="26.25">
      <c r="Y336" s="6"/>
      <c r="Z336" s="6"/>
    </row>
    <row r="337" spans="25:26" ht="26.25">
      <c r="Y337" s="6"/>
      <c r="Z337" s="6"/>
    </row>
    <row r="338" spans="25:26" ht="26.25">
      <c r="Y338" s="6"/>
      <c r="Z338" s="6"/>
    </row>
    <row r="339" spans="25:26" ht="26.25">
      <c r="Y339" s="6"/>
      <c r="Z339" s="6"/>
    </row>
    <row r="340" spans="25:26" ht="26.25">
      <c r="Y340" s="6"/>
      <c r="Z340" s="6"/>
    </row>
    <row r="341" spans="25:26" ht="26.25">
      <c r="Y341" s="6"/>
      <c r="Z341" s="6"/>
    </row>
    <row r="342" spans="25:26" ht="26.25">
      <c r="Y342" s="6"/>
      <c r="Z342" s="6"/>
    </row>
    <row r="343" spans="25:26" ht="26.25">
      <c r="Y343" s="6"/>
      <c r="Z343" s="6"/>
    </row>
    <row r="344" spans="25:26" ht="26.25">
      <c r="Y344" s="6"/>
      <c r="Z344" s="6"/>
    </row>
    <row r="345" spans="25:26" ht="26.25">
      <c r="Y345" s="6"/>
      <c r="Z345" s="6"/>
    </row>
    <row r="346" spans="25:26" ht="26.25">
      <c r="Y346" s="6"/>
      <c r="Z346" s="6"/>
    </row>
    <row r="347" spans="25:26" ht="26.25">
      <c r="Y347" s="6"/>
      <c r="Z347" s="6"/>
    </row>
    <row r="348" spans="25:26" ht="26.25">
      <c r="Y348" s="6"/>
      <c r="Z348" s="6"/>
    </row>
    <row r="349" spans="25:26" ht="26.25">
      <c r="Y349" s="6"/>
      <c r="Z349" s="6"/>
    </row>
    <row r="350" spans="25:26" ht="26.25">
      <c r="Y350" s="6"/>
      <c r="Z350" s="6"/>
    </row>
    <row r="351" spans="25:26" ht="26.25">
      <c r="Y351" s="6"/>
      <c r="Z351" s="6"/>
    </row>
    <row r="352" spans="25:26" ht="26.25">
      <c r="Y352" s="6"/>
      <c r="Z352" s="6"/>
    </row>
    <row r="353" spans="25:26" ht="26.25">
      <c r="Y353" s="6"/>
      <c r="Z353" s="6"/>
    </row>
    <row r="354" spans="25:26" ht="26.25">
      <c r="Y354" s="6"/>
      <c r="Z354" s="6"/>
    </row>
    <row r="355" spans="25:26" ht="26.25">
      <c r="Y355" s="6"/>
      <c r="Z355" s="6"/>
    </row>
    <row r="356" spans="25:26" ht="26.25">
      <c r="Y356" s="6"/>
      <c r="Z356" s="6"/>
    </row>
    <row r="357" spans="25:26" ht="26.25">
      <c r="Y357" s="6"/>
      <c r="Z357" s="6"/>
    </row>
    <row r="358" spans="25:26" ht="26.25">
      <c r="Y358" s="6"/>
      <c r="Z358" s="6"/>
    </row>
    <row r="359" spans="25:26" ht="26.25">
      <c r="Y359" s="6"/>
      <c r="Z359" s="6"/>
    </row>
    <row r="360" spans="25:26" ht="26.25">
      <c r="Y360" s="6"/>
      <c r="Z360" s="6"/>
    </row>
    <row r="361" spans="25:26" ht="26.25">
      <c r="Y361" s="6"/>
      <c r="Z361" s="6"/>
    </row>
    <row r="362" spans="25:26" ht="26.25">
      <c r="Y362" s="6"/>
      <c r="Z362" s="6"/>
    </row>
    <row r="363" spans="25:26" ht="26.25">
      <c r="Y363" s="6"/>
      <c r="Z363" s="6"/>
    </row>
    <row r="364" spans="25:26" ht="26.25">
      <c r="Y364" s="6"/>
      <c r="Z364" s="6"/>
    </row>
    <row r="365" spans="25:26" ht="26.25">
      <c r="Y365" s="6"/>
      <c r="Z365" s="6"/>
    </row>
    <row r="366" spans="25:26" ht="26.25">
      <c r="Y366" s="6"/>
      <c r="Z366" s="6"/>
    </row>
    <row r="367" spans="25:26" ht="26.25">
      <c r="Y367" s="6"/>
      <c r="Z367" s="6"/>
    </row>
    <row r="368" spans="25:26" ht="26.25">
      <c r="Y368" s="6"/>
      <c r="Z368" s="6"/>
    </row>
    <row r="369" spans="25:26" ht="26.25">
      <c r="Y369" s="6"/>
      <c r="Z369" s="6"/>
    </row>
    <row r="370" spans="25:26" ht="26.25">
      <c r="Y370" s="6"/>
      <c r="Z370" s="6"/>
    </row>
    <row r="371" spans="25:26" ht="26.25">
      <c r="Y371" s="6"/>
      <c r="Z371" s="6"/>
    </row>
    <row r="372" spans="25:26" ht="26.25">
      <c r="Y372" s="6"/>
      <c r="Z372" s="6"/>
    </row>
    <row r="373" spans="25:26" ht="26.25">
      <c r="Y373" s="6"/>
      <c r="Z373" s="6"/>
    </row>
    <row r="374" spans="25:26" ht="26.25">
      <c r="Y374" s="6"/>
      <c r="Z374" s="6"/>
    </row>
    <row r="375" spans="25:26" ht="26.25">
      <c r="Y375" s="6"/>
      <c r="Z375" s="6"/>
    </row>
    <row r="376" spans="25:26" ht="26.25">
      <c r="Y376" s="6"/>
      <c r="Z376" s="6"/>
    </row>
    <row r="377" spans="25:26" ht="26.25">
      <c r="Y377" s="6"/>
      <c r="Z377" s="6"/>
    </row>
    <row r="378" spans="25:26" ht="26.25">
      <c r="Y378" s="6"/>
      <c r="Z378" s="6"/>
    </row>
    <row r="379" spans="25:26" ht="26.25">
      <c r="Y379" s="6"/>
      <c r="Z379" s="6"/>
    </row>
    <row r="380" spans="25:26" ht="26.25">
      <c r="Y380" s="6"/>
      <c r="Z380" s="6"/>
    </row>
    <row r="381" spans="25:26" ht="26.25">
      <c r="Y381" s="6"/>
      <c r="Z381" s="6"/>
    </row>
    <row r="382" spans="25:26" ht="26.25">
      <c r="Y382" s="6"/>
      <c r="Z382" s="6"/>
    </row>
    <row r="383" spans="25:26" ht="26.25">
      <c r="Y383" s="6"/>
      <c r="Z383" s="6"/>
    </row>
    <row r="384" spans="25:26" ht="26.25">
      <c r="Y384" s="6"/>
      <c r="Z384" s="6"/>
    </row>
    <row r="385" spans="25:26" ht="26.25">
      <c r="Y385" s="6"/>
      <c r="Z385" s="6"/>
    </row>
    <row r="386" spans="25:26" ht="26.25">
      <c r="Y386" s="6"/>
      <c r="Z386" s="6"/>
    </row>
    <row r="387" spans="25:26" ht="26.25">
      <c r="Y387" s="6"/>
      <c r="Z387" s="6"/>
    </row>
    <row r="388" spans="25:26" ht="26.25">
      <c r="Y388" s="6"/>
      <c r="Z388" s="6"/>
    </row>
    <row r="389" spans="25:26" ht="26.25">
      <c r="Y389" s="6"/>
      <c r="Z389" s="6"/>
    </row>
    <row r="390" spans="25:26" ht="26.25">
      <c r="Y390" s="6"/>
      <c r="Z390" s="6"/>
    </row>
    <row r="391" spans="25:26" ht="26.25">
      <c r="Y391" s="6"/>
      <c r="Z391" s="6"/>
    </row>
    <row r="392" spans="25:26" ht="26.25">
      <c r="Y392" s="6"/>
      <c r="Z392" s="6"/>
    </row>
    <row r="393" spans="25:26" ht="26.25">
      <c r="Y393" s="6"/>
      <c r="Z393" s="6"/>
    </row>
    <row r="394" spans="25:26" ht="26.25">
      <c r="Y394" s="6"/>
      <c r="Z394" s="6"/>
    </row>
    <row r="395" spans="25:26" ht="26.25">
      <c r="Y395" s="6"/>
      <c r="Z395" s="6"/>
    </row>
    <row r="396" spans="25:26" ht="26.25">
      <c r="Y396" s="6"/>
      <c r="Z396" s="6"/>
    </row>
    <row r="397" spans="25:26" ht="26.25">
      <c r="Y397" s="6"/>
      <c r="Z397" s="6"/>
    </row>
    <row r="398" spans="25:26" ht="26.25">
      <c r="Y398" s="6"/>
      <c r="Z398" s="6"/>
    </row>
    <row r="399" spans="25:26" ht="26.25">
      <c r="Y399" s="6"/>
      <c r="Z399" s="6"/>
    </row>
    <row r="400" spans="25:26" ht="26.25">
      <c r="Y400" s="6"/>
      <c r="Z400" s="6"/>
    </row>
    <row r="401" spans="25:26" ht="26.25">
      <c r="Y401" s="6"/>
      <c r="Z401" s="6"/>
    </row>
    <row r="402" spans="25:26" ht="26.25">
      <c r="Y402" s="6"/>
      <c r="Z402" s="6"/>
    </row>
    <row r="403" spans="25:26" ht="26.25">
      <c r="Y403" s="6"/>
      <c r="Z403" s="6"/>
    </row>
    <row r="404" spans="25:26" ht="26.25">
      <c r="Y404" s="6"/>
      <c r="Z404" s="6"/>
    </row>
    <row r="405" spans="25:26" ht="26.25">
      <c r="Y405" s="6"/>
      <c r="Z405" s="6"/>
    </row>
    <row r="406" spans="25:26" ht="26.25">
      <c r="Y406" s="6"/>
      <c r="Z406" s="6"/>
    </row>
    <row r="407" spans="25:26" ht="26.25">
      <c r="Y407" s="6"/>
      <c r="Z407" s="6"/>
    </row>
    <row r="408" spans="25:26" ht="26.25">
      <c r="Y408" s="6"/>
      <c r="Z408" s="6"/>
    </row>
    <row r="409" spans="25:26" ht="26.25">
      <c r="Y409" s="6"/>
      <c r="Z409" s="6"/>
    </row>
    <row r="410" spans="25:26" ht="26.25">
      <c r="Y410" s="6"/>
      <c r="Z410" s="6"/>
    </row>
    <row r="411" spans="25:26" ht="26.25">
      <c r="Y411" s="6"/>
      <c r="Z411" s="6"/>
    </row>
    <row r="412" spans="25:26" ht="26.25">
      <c r="Y412" s="6"/>
      <c r="Z412" s="6"/>
    </row>
    <row r="413" spans="25:26" ht="26.25">
      <c r="Y413" s="6"/>
      <c r="Z413" s="6"/>
    </row>
    <row r="414" spans="25:26" ht="26.25">
      <c r="Y414" s="6"/>
      <c r="Z414" s="6"/>
    </row>
    <row r="415" spans="25:26" ht="26.25">
      <c r="Y415" s="6"/>
      <c r="Z415" s="6"/>
    </row>
    <row r="416" spans="25:26" ht="26.25">
      <c r="Y416" s="6"/>
      <c r="Z416" s="6"/>
    </row>
    <row r="417" spans="25:26" ht="26.25">
      <c r="Y417" s="6"/>
      <c r="Z417" s="6"/>
    </row>
    <row r="418" spans="25:26" ht="26.25">
      <c r="Y418" s="6"/>
      <c r="Z418" s="6"/>
    </row>
    <row r="419" spans="25:26" ht="26.25">
      <c r="Y419" s="6"/>
      <c r="Z419" s="6"/>
    </row>
    <row r="420" spans="25:26" ht="26.25">
      <c r="Y420" s="6"/>
      <c r="Z420" s="6"/>
    </row>
    <row r="421" spans="25:26" ht="26.25">
      <c r="Y421" s="6"/>
      <c r="Z421" s="6"/>
    </row>
    <row r="422" spans="25:26" ht="26.25">
      <c r="Y422" s="6"/>
      <c r="Z422" s="6"/>
    </row>
    <row r="423" spans="25:26" ht="26.25">
      <c r="Y423" s="6"/>
      <c r="Z423" s="6"/>
    </row>
    <row r="424" spans="25:26" ht="26.25">
      <c r="Y424" s="6"/>
      <c r="Z424" s="6"/>
    </row>
    <row r="425" spans="25:26" ht="26.25">
      <c r="Y425" s="6"/>
      <c r="Z425" s="6"/>
    </row>
    <row r="426" spans="25:26" ht="26.25">
      <c r="Y426" s="6"/>
      <c r="Z426" s="6"/>
    </row>
    <row r="427" spans="25:26" ht="26.25">
      <c r="Y427" s="6"/>
      <c r="Z427" s="6"/>
    </row>
    <row r="428" spans="25:26" ht="26.25">
      <c r="Y428" s="6"/>
      <c r="Z428" s="6"/>
    </row>
    <row r="429" spans="25:26" ht="26.25">
      <c r="Y429" s="6"/>
      <c r="Z429" s="6"/>
    </row>
    <row r="430" spans="25:26" ht="26.25">
      <c r="Y430" s="6"/>
      <c r="Z430" s="6"/>
    </row>
    <row r="431" spans="25:26" ht="26.25">
      <c r="Y431" s="6"/>
      <c r="Z431" s="6"/>
    </row>
    <row r="432" spans="25:26" ht="26.25">
      <c r="Y432" s="6"/>
      <c r="Z432" s="6"/>
    </row>
    <row r="433" spans="25:26" ht="26.25">
      <c r="Y433" s="6"/>
      <c r="Z433" s="6"/>
    </row>
    <row r="434" spans="25:26" ht="26.25">
      <c r="Y434" s="6"/>
      <c r="Z434" s="6"/>
    </row>
    <row r="435" spans="25:26" ht="26.25">
      <c r="Y435" s="6"/>
      <c r="Z435" s="6"/>
    </row>
    <row r="436" spans="25:26" ht="26.25">
      <c r="Y436" s="6"/>
      <c r="Z436" s="6"/>
    </row>
    <row r="437" spans="25:26" ht="26.25">
      <c r="Y437" s="6"/>
      <c r="Z437" s="6"/>
    </row>
    <row r="438" spans="25:26" ht="26.25">
      <c r="Y438" s="6"/>
      <c r="Z438" s="6"/>
    </row>
    <row r="439" spans="25:26" ht="26.25">
      <c r="Y439" s="6"/>
      <c r="Z439" s="6"/>
    </row>
    <row r="440" spans="25:26" ht="26.25">
      <c r="Y440" s="6"/>
      <c r="Z440" s="6"/>
    </row>
    <row r="441" spans="25:26" ht="26.25">
      <c r="Y441" s="6"/>
      <c r="Z441" s="6"/>
    </row>
    <row r="442" spans="25:26" ht="26.25">
      <c r="Y442" s="6"/>
      <c r="Z442" s="6"/>
    </row>
    <row r="443" spans="25:26" ht="26.25">
      <c r="Y443" s="6"/>
      <c r="Z443" s="6"/>
    </row>
    <row r="444" spans="25:26" ht="26.25">
      <c r="Y444" s="6"/>
      <c r="Z444" s="6"/>
    </row>
    <row r="445" spans="25:26" ht="26.25">
      <c r="Y445" s="6"/>
      <c r="Z445" s="6"/>
    </row>
    <row r="446" spans="25:26" ht="26.25">
      <c r="Y446" s="6"/>
      <c r="Z446" s="6"/>
    </row>
    <row r="447" spans="25:26" ht="26.25">
      <c r="Y447" s="6"/>
      <c r="Z447" s="6"/>
    </row>
    <row r="448" spans="25:26" ht="26.25">
      <c r="Y448" s="6"/>
      <c r="Z448" s="6"/>
    </row>
    <row r="449" spans="25:26" ht="26.25">
      <c r="Y449" s="6"/>
      <c r="Z449" s="6"/>
    </row>
    <row r="450" spans="25:26" ht="26.25">
      <c r="Y450" s="6"/>
      <c r="Z450" s="6"/>
    </row>
    <row r="451" spans="25:26" ht="26.25">
      <c r="Y451" s="6"/>
      <c r="Z451" s="6"/>
    </row>
    <row r="452" spans="25:26" ht="26.25">
      <c r="Y452" s="6"/>
      <c r="Z452" s="6"/>
    </row>
    <row r="453" spans="25:26" ht="26.25">
      <c r="Y453" s="6"/>
      <c r="Z453" s="6"/>
    </row>
    <row r="454" spans="25:26" ht="26.25">
      <c r="Y454" s="6"/>
      <c r="Z454" s="6"/>
    </row>
    <row r="455" spans="25:26" ht="26.25">
      <c r="Y455" s="6"/>
      <c r="Z455" s="6"/>
    </row>
    <row r="456" spans="25:26" ht="26.25">
      <c r="Y456" s="6"/>
      <c r="Z456" s="6"/>
    </row>
    <row r="457" spans="25:26" ht="26.25">
      <c r="Y457" s="6"/>
      <c r="Z457" s="6"/>
    </row>
    <row r="458" spans="25:26" ht="26.25">
      <c r="Y458" s="6"/>
      <c r="Z458" s="6"/>
    </row>
    <row r="459" spans="25:26" ht="26.25">
      <c r="Y459" s="6"/>
      <c r="Z459" s="6"/>
    </row>
    <row r="460" spans="25:26" ht="26.25">
      <c r="Y460" s="6"/>
      <c r="Z460" s="6"/>
    </row>
    <row r="461" spans="25:26" ht="26.25">
      <c r="Y461" s="6"/>
      <c r="Z461" s="6"/>
    </row>
    <row r="462" spans="25:26" ht="26.25">
      <c r="Y462" s="6"/>
      <c r="Z462" s="6"/>
    </row>
    <row r="463" spans="25:26" ht="26.25">
      <c r="Y463" s="6"/>
      <c r="Z463" s="6"/>
    </row>
    <row r="464" spans="25:26" ht="26.25">
      <c r="Y464" s="6"/>
      <c r="Z464" s="6"/>
    </row>
    <row r="465" spans="25:26" ht="26.25">
      <c r="Y465" s="6"/>
      <c r="Z465" s="6"/>
    </row>
    <row r="466" spans="25:26" ht="26.25">
      <c r="Y466" s="6"/>
      <c r="Z466" s="6"/>
    </row>
    <row r="467" spans="25:26" ht="26.25">
      <c r="Y467" s="6"/>
      <c r="Z467" s="6"/>
    </row>
    <row r="468" spans="25:26" ht="26.25">
      <c r="Y468" s="6"/>
      <c r="Z468" s="6"/>
    </row>
    <row r="469" spans="25:26" ht="26.25">
      <c r="Y469" s="6"/>
      <c r="Z469" s="6"/>
    </row>
    <row r="470" spans="25:26" ht="26.25">
      <c r="Y470" s="6"/>
      <c r="Z470" s="6"/>
    </row>
    <row r="471" spans="25:26" ht="26.25">
      <c r="Y471" s="6"/>
      <c r="Z471" s="6"/>
    </row>
    <row r="472" spans="25:26" ht="26.25">
      <c r="Y472" s="6"/>
      <c r="Z472" s="6"/>
    </row>
    <row r="473" spans="25:26" ht="26.25">
      <c r="Y473" s="6"/>
      <c r="Z473" s="6"/>
    </row>
    <row r="474" spans="25:26" ht="26.25">
      <c r="Y474" s="6"/>
      <c r="Z474" s="6"/>
    </row>
    <row r="475" spans="25:26" ht="26.25">
      <c r="Y475" s="6"/>
      <c r="Z475" s="6"/>
    </row>
    <row r="476" spans="25:26" ht="26.25">
      <c r="Y476" s="6"/>
      <c r="Z476" s="6"/>
    </row>
    <row r="477" spans="25:26" ht="26.25">
      <c r="Y477" s="6"/>
      <c r="Z477" s="6"/>
    </row>
    <row r="478" spans="25:26" ht="26.25">
      <c r="Y478" s="6"/>
      <c r="Z478" s="6"/>
    </row>
    <row r="479" spans="25:26" ht="26.25">
      <c r="Y479" s="6"/>
      <c r="Z479" s="6"/>
    </row>
    <row r="480" spans="25:26" ht="26.25">
      <c r="Y480" s="6"/>
      <c r="Z480" s="6"/>
    </row>
    <row r="481" spans="25:26" ht="26.25">
      <c r="Y481" s="6"/>
      <c r="Z481" s="6"/>
    </row>
    <row r="482" spans="25:26" ht="26.25">
      <c r="Y482" s="6"/>
      <c r="Z482" s="6"/>
    </row>
    <row r="483" spans="25:26" ht="26.25">
      <c r="Y483" s="6"/>
      <c r="Z483" s="6"/>
    </row>
    <row r="484" spans="25:26" ht="26.25">
      <c r="Y484" s="6"/>
      <c r="Z484" s="6"/>
    </row>
    <row r="485" spans="25:26" ht="26.25">
      <c r="Y485" s="6"/>
      <c r="Z485" s="6"/>
    </row>
    <row r="486" spans="25:26" ht="26.25">
      <c r="Y486" s="6"/>
      <c r="Z486" s="6"/>
    </row>
    <row r="487" spans="25:26" ht="26.25">
      <c r="Y487" s="6"/>
      <c r="Z487" s="6"/>
    </row>
    <row r="488" spans="25:26" ht="26.25">
      <c r="Y488" s="6"/>
      <c r="Z488" s="6"/>
    </row>
    <row r="489" spans="25:26" ht="26.25">
      <c r="Y489" s="6"/>
      <c r="Z489" s="6"/>
    </row>
    <row r="490" spans="25:26" ht="26.25">
      <c r="Y490" s="6"/>
      <c r="Z490" s="6"/>
    </row>
    <row r="491" spans="25:26" ht="26.25">
      <c r="Y491" s="6"/>
      <c r="Z491" s="6"/>
    </row>
    <row r="492" spans="25:26" ht="26.25">
      <c r="Y492" s="6"/>
      <c r="Z492" s="6"/>
    </row>
    <row r="493" spans="25:26" ht="26.25">
      <c r="Y493" s="6"/>
      <c r="Z493" s="6"/>
    </row>
    <row r="494" spans="25:26" ht="26.25">
      <c r="Y494" s="6"/>
      <c r="Z494" s="6"/>
    </row>
    <row r="495" spans="25:26" ht="26.25">
      <c r="Y495" s="6"/>
      <c r="Z495" s="6"/>
    </row>
    <row r="496" spans="25:26" ht="26.25">
      <c r="Y496" s="6"/>
      <c r="Z496" s="6"/>
    </row>
    <row r="497" spans="25:26" ht="26.25">
      <c r="Y497" s="6"/>
      <c r="Z497" s="6"/>
    </row>
    <row r="498" spans="25:26" ht="26.25">
      <c r="Y498" s="6"/>
      <c r="Z498" s="6"/>
    </row>
    <row r="499" spans="25:26" ht="26.25">
      <c r="Y499" s="6"/>
      <c r="Z499" s="6"/>
    </row>
    <row r="500" spans="25:26" ht="26.25">
      <c r="Y500" s="6"/>
      <c r="Z500" s="6"/>
    </row>
    <row r="501" spans="25:26" ht="26.25">
      <c r="Y501" s="6"/>
      <c r="Z501" s="6"/>
    </row>
    <row r="502" spans="25:26" ht="26.25">
      <c r="Y502" s="6"/>
      <c r="Z502" s="6"/>
    </row>
    <row r="503" spans="25:26" ht="26.25">
      <c r="Y503" s="6"/>
      <c r="Z503" s="6"/>
    </row>
    <row r="504" spans="25:26" ht="26.25">
      <c r="Y504" s="6"/>
      <c r="Z504" s="6"/>
    </row>
    <row r="505" spans="25:26" ht="26.25">
      <c r="Y505" s="6"/>
      <c r="Z505" s="6"/>
    </row>
  </sheetData>
  <sheetProtection/>
  <mergeCells count="17">
    <mergeCell ref="A1:AP1"/>
    <mergeCell ref="A2:AP2"/>
    <mergeCell ref="A4:A5"/>
    <mergeCell ref="B4:B5"/>
    <mergeCell ref="C4:C5"/>
    <mergeCell ref="D4:I4"/>
    <mergeCell ref="K4:P4"/>
    <mergeCell ref="R4:W4"/>
    <mergeCell ref="Y4:AE4"/>
    <mergeCell ref="AF4:AL4"/>
    <mergeCell ref="BA49:BE49"/>
    <mergeCell ref="AM4:AS4"/>
    <mergeCell ref="AT4:AZ4"/>
    <mergeCell ref="B49:E49"/>
    <mergeCell ref="U49:V49"/>
    <mergeCell ref="AT49:AW49"/>
    <mergeCell ref="AY49:AZ49"/>
  </mergeCells>
  <printOptions/>
  <pageMargins left="0" right="0" top="0" bottom="0" header="0.1968503937007874" footer="0.2755905511811024"/>
  <pageSetup fitToHeight="1" fitToWidth="1" horizontalDpi="600" verticalDpi="600" orientation="landscape" paperSize="9" scale="1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05"/>
  <sheetViews>
    <sheetView view="pageBreakPreview" zoomScale="50" zoomScaleSheetLayoutView="50" zoomScalePageLayoutView="0" workbookViewId="0" topLeftCell="A1">
      <pane xSplit="2" ySplit="6" topLeftCell="Y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31" sqref="G31"/>
    </sheetView>
  </sheetViews>
  <sheetFormatPr defaultColWidth="9.00390625" defaultRowHeight="12.75"/>
  <cols>
    <col min="1" max="1" width="11.125" style="5" customWidth="1"/>
    <col min="2" max="2" width="74.00390625" style="5" customWidth="1"/>
    <col min="3" max="3" width="11.125" style="5" customWidth="1"/>
    <col min="4" max="4" width="25.375" style="6" customWidth="1"/>
    <col min="5" max="5" width="23.25390625" style="92" customWidth="1"/>
    <col min="6" max="6" width="22.375" style="92" customWidth="1"/>
    <col min="7" max="7" width="20.875" style="92" customWidth="1"/>
    <col min="8" max="10" width="19.625" style="92" customWidth="1"/>
    <col min="11" max="11" width="21.75390625" style="6" customWidth="1"/>
    <col min="12" max="12" width="20.375" style="6" customWidth="1"/>
    <col min="13" max="13" width="16.625" style="6" customWidth="1"/>
    <col min="14" max="14" width="19.75390625" style="6" customWidth="1"/>
    <col min="15" max="15" width="18.00390625" style="6" customWidth="1"/>
    <col min="16" max="16" width="20.25390625" style="6" customWidth="1"/>
    <col min="17" max="17" width="20.00390625" style="6" customWidth="1"/>
    <col min="18" max="18" width="25.625" style="6" customWidth="1"/>
    <col min="19" max="19" width="23.625" style="6" customWidth="1"/>
    <col min="20" max="20" width="24.00390625" style="6" customWidth="1"/>
    <col min="21" max="21" width="25.625" style="6" customWidth="1"/>
    <col min="22" max="22" width="23.00390625" style="6" customWidth="1"/>
    <col min="23" max="23" width="26.625" style="6" customWidth="1"/>
    <col min="24" max="24" width="23.125" style="6" customWidth="1"/>
    <col min="25" max="25" width="21.625" style="95" customWidth="1"/>
    <col min="26" max="26" width="27.25390625" style="92" customWidth="1"/>
    <col min="27" max="27" width="21.625" style="92" customWidth="1"/>
    <col min="28" max="28" width="20.125" style="92" customWidth="1"/>
    <col min="29" max="29" width="20.375" style="92" customWidth="1"/>
    <col min="30" max="30" width="20.875" style="92" customWidth="1"/>
    <col min="31" max="31" width="21.75390625" style="92" customWidth="1"/>
    <col min="32" max="32" width="17.375" style="6" customWidth="1"/>
    <col min="33" max="33" width="17.75390625" style="6" customWidth="1"/>
    <col min="34" max="34" width="17.875" style="6" customWidth="1"/>
    <col min="35" max="35" width="17.00390625" style="6" customWidth="1"/>
    <col min="36" max="36" width="16.125" style="6" customWidth="1"/>
    <col min="37" max="37" width="17.25390625" style="6" customWidth="1"/>
    <col min="38" max="38" width="19.625" style="6" customWidth="1"/>
    <col min="39" max="39" width="26.875" style="6" customWidth="1"/>
    <col min="40" max="40" width="24.375" style="6" customWidth="1"/>
    <col min="41" max="41" width="25.375" style="6" customWidth="1"/>
    <col min="42" max="42" width="25.625" style="6" customWidth="1"/>
    <col min="43" max="43" width="25.00390625" style="6" customWidth="1"/>
    <col min="44" max="45" width="26.25390625" style="6" customWidth="1"/>
    <col min="46" max="46" width="25.625" style="93" hidden="1" customWidth="1"/>
    <col min="47" max="48" width="23.875" style="6" hidden="1" customWidth="1"/>
    <col min="49" max="49" width="26.125" style="6" hidden="1" customWidth="1"/>
    <col min="50" max="50" width="23.875" style="6" hidden="1" customWidth="1"/>
    <col min="51" max="52" width="25.375" style="6" hidden="1" customWidth="1"/>
    <col min="53" max="65" width="9.125" style="4" customWidth="1"/>
    <col min="66" max="16384" width="9.125" style="5" customWidth="1"/>
  </cols>
  <sheetData>
    <row r="1" spans="1:52" ht="36" customHeight="1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1"/>
      <c r="AR1" s="1"/>
      <c r="AS1" s="1"/>
      <c r="AT1" s="2"/>
      <c r="AU1" s="3"/>
      <c r="AV1" s="3"/>
      <c r="AW1" s="3"/>
      <c r="AX1" s="3"/>
      <c r="AY1" s="3"/>
      <c r="AZ1" s="3"/>
    </row>
    <row r="2" spans="1:52" ht="30" customHeight="1">
      <c r="A2" s="215" t="s">
        <v>58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1"/>
      <c r="AR2" s="1"/>
      <c r="AS2" s="1"/>
      <c r="AT2" s="2"/>
      <c r="AU2" s="3"/>
      <c r="AV2" s="3"/>
      <c r="AW2" s="3"/>
      <c r="AX2" s="3"/>
      <c r="AY2" s="3"/>
      <c r="AZ2" s="3"/>
    </row>
    <row r="3" spans="1:46" ht="11.25" customHeight="1" thickBot="1">
      <c r="A3" s="1"/>
      <c r="B3" s="1"/>
      <c r="D3" s="3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2"/>
    </row>
    <row r="4" spans="1:65" s="8" customFormat="1" ht="30.75" customHeight="1">
      <c r="A4" s="216"/>
      <c r="B4" s="218" t="s">
        <v>7</v>
      </c>
      <c r="C4" s="218"/>
      <c r="D4" s="209" t="s">
        <v>30</v>
      </c>
      <c r="E4" s="210"/>
      <c r="F4" s="210"/>
      <c r="G4" s="210"/>
      <c r="H4" s="210"/>
      <c r="I4" s="220"/>
      <c r="J4" s="111"/>
      <c r="K4" s="209" t="s">
        <v>11</v>
      </c>
      <c r="L4" s="210"/>
      <c r="M4" s="210"/>
      <c r="N4" s="210"/>
      <c r="O4" s="210"/>
      <c r="P4" s="220"/>
      <c r="Q4" s="111"/>
      <c r="R4" s="209" t="s">
        <v>31</v>
      </c>
      <c r="S4" s="210"/>
      <c r="T4" s="210"/>
      <c r="U4" s="210"/>
      <c r="V4" s="210"/>
      <c r="W4" s="220"/>
      <c r="X4" s="111"/>
      <c r="Y4" s="209" t="s">
        <v>8</v>
      </c>
      <c r="Z4" s="210"/>
      <c r="AA4" s="210"/>
      <c r="AB4" s="210"/>
      <c r="AC4" s="210"/>
      <c r="AD4" s="210"/>
      <c r="AE4" s="220"/>
      <c r="AF4" s="221" t="s">
        <v>10</v>
      </c>
      <c r="AG4" s="222"/>
      <c r="AH4" s="222"/>
      <c r="AI4" s="222"/>
      <c r="AJ4" s="222"/>
      <c r="AK4" s="222"/>
      <c r="AL4" s="223"/>
      <c r="AM4" s="209" t="s">
        <v>32</v>
      </c>
      <c r="AN4" s="210"/>
      <c r="AO4" s="210"/>
      <c r="AP4" s="210"/>
      <c r="AQ4" s="210"/>
      <c r="AR4" s="210"/>
      <c r="AS4" s="210"/>
      <c r="AT4" s="211" t="s">
        <v>33</v>
      </c>
      <c r="AU4" s="210"/>
      <c r="AV4" s="210"/>
      <c r="AW4" s="210"/>
      <c r="AX4" s="210"/>
      <c r="AY4" s="210"/>
      <c r="AZ4" s="212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52" ht="50.25" customHeight="1">
      <c r="A5" s="217"/>
      <c r="B5" s="219"/>
      <c r="C5" s="219"/>
      <c r="D5" s="11" t="s">
        <v>6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12" t="s">
        <v>36</v>
      </c>
      <c r="K5" s="11" t="s">
        <v>6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36</v>
      </c>
      <c r="R5" s="11" t="s">
        <v>6</v>
      </c>
      <c r="S5" s="12" t="s">
        <v>12</v>
      </c>
      <c r="T5" s="12" t="s">
        <v>13</v>
      </c>
      <c r="U5" s="12" t="s">
        <v>14</v>
      </c>
      <c r="V5" s="12" t="s">
        <v>15</v>
      </c>
      <c r="W5" s="12" t="s">
        <v>16</v>
      </c>
      <c r="X5" s="12" t="s">
        <v>36</v>
      </c>
      <c r="Y5" s="11" t="s">
        <v>6</v>
      </c>
      <c r="Z5" s="12" t="s">
        <v>12</v>
      </c>
      <c r="AA5" s="12" t="s">
        <v>13</v>
      </c>
      <c r="AB5" s="12" t="s">
        <v>14</v>
      </c>
      <c r="AC5" s="12" t="s">
        <v>15</v>
      </c>
      <c r="AD5" s="12" t="s">
        <v>16</v>
      </c>
      <c r="AE5" s="12" t="s">
        <v>36</v>
      </c>
      <c r="AF5" s="11" t="s">
        <v>6</v>
      </c>
      <c r="AG5" s="12" t="s">
        <v>12</v>
      </c>
      <c r="AH5" s="12" t="s">
        <v>13</v>
      </c>
      <c r="AI5" s="12" t="s">
        <v>14</v>
      </c>
      <c r="AJ5" s="12" t="s">
        <v>15</v>
      </c>
      <c r="AK5" s="12" t="s">
        <v>16</v>
      </c>
      <c r="AL5" s="12" t="s">
        <v>36</v>
      </c>
      <c r="AM5" s="14" t="s">
        <v>6</v>
      </c>
      <c r="AN5" s="12" t="s">
        <v>12</v>
      </c>
      <c r="AO5" s="12" t="s">
        <v>13</v>
      </c>
      <c r="AP5" s="12" t="s">
        <v>14</v>
      </c>
      <c r="AQ5" s="12" t="s">
        <v>15</v>
      </c>
      <c r="AR5" s="12" t="s">
        <v>16</v>
      </c>
      <c r="AS5" s="112" t="s">
        <v>36</v>
      </c>
      <c r="AT5" s="114" t="s">
        <v>6</v>
      </c>
      <c r="AU5" s="16" t="s">
        <v>12</v>
      </c>
      <c r="AV5" s="16" t="s">
        <v>13</v>
      </c>
      <c r="AW5" s="16" t="s">
        <v>14</v>
      </c>
      <c r="AX5" s="16" t="s">
        <v>15</v>
      </c>
      <c r="AY5" s="16" t="s">
        <v>16</v>
      </c>
      <c r="AZ5" s="110" t="s">
        <v>36</v>
      </c>
    </row>
    <row r="6" spans="1:65" s="22" customFormat="1" ht="25.5" customHeight="1" thickBot="1">
      <c r="A6" s="17"/>
      <c r="B6" s="18">
        <v>2</v>
      </c>
      <c r="C6" s="18"/>
      <c r="D6" s="19">
        <v>3</v>
      </c>
      <c r="E6" s="18"/>
      <c r="F6" s="18"/>
      <c r="G6" s="18"/>
      <c r="H6" s="18"/>
      <c r="I6" s="18"/>
      <c r="J6" s="18"/>
      <c r="K6" s="19">
        <v>4</v>
      </c>
      <c r="L6" s="20"/>
      <c r="M6" s="20"/>
      <c r="N6" s="20"/>
      <c r="O6" s="20"/>
      <c r="P6" s="20"/>
      <c r="Q6" s="20"/>
      <c r="R6" s="19">
        <v>5</v>
      </c>
      <c r="S6" s="20"/>
      <c r="T6" s="20"/>
      <c r="U6" s="20"/>
      <c r="V6" s="20"/>
      <c r="W6" s="20"/>
      <c r="X6" s="20"/>
      <c r="Y6" s="19">
        <v>6</v>
      </c>
      <c r="Z6" s="18"/>
      <c r="AA6" s="18"/>
      <c r="AB6" s="18"/>
      <c r="AC6" s="18"/>
      <c r="AD6" s="18"/>
      <c r="AE6" s="18"/>
      <c r="AF6" s="19">
        <v>7</v>
      </c>
      <c r="AG6" s="20"/>
      <c r="AH6" s="20"/>
      <c r="AI6" s="20"/>
      <c r="AJ6" s="20"/>
      <c r="AK6" s="20"/>
      <c r="AL6" s="20"/>
      <c r="AM6" s="19">
        <v>8</v>
      </c>
      <c r="AN6" s="20"/>
      <c r="AO6" s="20"/>
      <c r="AP6" s="20"/>
      <c r="AQ6" s="20"/>
      <c r="AR6" s="20"/>
      <c r="AS6" s="113"/>
      <c r="AT6" s="115">
        <v>9</v>
      </c>
      <c r="AU6" s="116"/>
      <c r="AV6" s="116"/>
      <c r="AW6" s="116"/>
      <c r="AX6" s="116"/>
      <c r="AY6" s="116"/>
      <c r="AZ6" s="117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</row>
    <row r="7" spans="1:65" s="29" customFormat="1" ht="43.5" customHeight="1" thickBot="1">
      <c r="A7" s="23">
        <v>1</v>
      </c>
      <c r="B7" s="24" t="s">
        <v>2</v>
      </c>
      <c r="C7" s="24" t="s">
        <v>4</v>
      </c>
      <c r="D7" s="181">
        <f aca="true" t="shared" si="0" ref="D7:J7">SUM(D8:D18)</f>
        <v>6855.247020000002</v>
      </c>
      <c r="E7" s="25">
        <f t="shared" si="0"/>
        <v>560.0368</v>
      </c>
      <c r="F7" s="25">
        <f t="shared" si="0"/>
        <v>3167.1438200000002</v>
      </c>
      <c r="G7" s="25">
        <f t="shared" si="0"/>
        <v>1238.7085</v>
      </c>
      <c r="H7" s="25">
        <f t="shared" si="0"/>
        <v>1059.3169</v>
      </c>
      <c r="I7" s="25">
        <f t="shared" si="0"/>
        <v>705.3900000000001</v>
      </c>
      <c r="J7" s="25">
        <f t="shared" si="0"/>
        <v>124.65100000000001</v>
      </c>
      <c r="K7" s="27">
        <f aca="true" t="shared" si="1" ref="K7:P7">R7/D7</f>
        <v>1304.8619070768361</v>
      </c>
      <c r="L7" s="27">
        <f t="shared" si="1"/>
        <v>1310.1095677998305</v>
      </c>
      <c r="M7" s="27">
        <f t="shared" si="1"/>
        <v>1306.6291223869964</v>
      </c>
      <c r="N7" s="27">
        <f t="shared" si="1"/>
        <v>1306.6257719229343</v>
      </c>
      <c r="O7" s="27">
        <f t="shared" si="1"/>
        <v>1306.6257981912684</v>
      </c>
      <c r="P7" s="27">
        <f t="shared" si="1"/>
        <v>1306.6253561859396</v>
      </c>
      <c r="Q7" s="27">
        <f>Y7/J7</f>
        <v>55.026131038268936</v>
      </c>
      <c r="R7" s="27">
        <f aca="true" t="shared" si="2" ref="R7:AE7">SUM(R8:R18)</f>
        <v>8945150.7</v>
      </c>
      <c r="S7" s="27">
        <f t="shared" si="2"/>
        <v>733709.5700000001</v>
      </c>
      <c r="T7" s="27">
        <f t="shared" si="2"/>
        <v>4138282.3499999996</v>
      </c>
      <c r="U7" s="27">
        <f t="shared" si="2"/>
        <v>1618528.45</v>
      </c>
      <c r="V7" s="27">
        <f t="shared" si="2"/>
        <v>1384130.79</v>
      </c>
      <c r="W7" s="27">
        <f t="shared" si="2"/>
        <v>921680.4600000001</v>
      </c>
      <c r="X7" s="27">
        <f t="shared" si="2"/>
        <v>148819.08000000002</v>
      </c>
      <c r="Y7" s="59">
        <f t="shared" si="2"/>
        <v>6859.062260051262</v>
      </c>
      <c r="Z7" s="59">
        <f t="shared" si="2"/>
        <v>561.6292940133195</v>
      </c>
      <c r="AA7" s="59">
        <f t="shared" si="2"/>
        <v>3167.258083772759</v>
      </c>
      <c r="AB7" s="59">
        <f t="shared" si="2"/>
        <v>1240.968437889839</v>
      </c>
      <c r="AC7" s="59">
        <f t="shared" si="2"/>
        <v>1059.252014724903</v>
      </c>
      <c r="AD7" s="59">
        <f t="shared" si="2"/>
        <v>705.3022278686391</v>
      </c>
      <c r="AE7" s="59">
        <f t="shared" si="2"/>
        <v>124.65220178180178</v>
      </c>
      <c r="AF7" s="28">
        <f>AM7/Y7</f>
        <v>1304.8852351331636</v>
      </c>
      <c r="AG7" s="101">
        <f>AN7/Z7</f>
        <v>1310.3448090130194</v>
      </c>
      <c r="AH7" s="101">
        <f>AH10</f>
        <v>1306.63</v>
      </c>
      <c r="AI7" s="101">
        <f>AI9</f>
        <v>1306.63</v>
      </c>
      <c r="AJ7" s="101">
        <f>AJ12</f>
        <v>1306.63</v>
      </c>
      <c r="AK7" s="27">
        <f>AK12</f>
        <v>1306.63</v>
      </c>
      <c r="AL7" s="27">
        <f>AS7/AE7</f>
        <v>1193.8859311968174</v>
      </c>
      <c r="AM7" s="27">
        <f aca="true" t="shared" si="3" ref="AM7:AZ7">SUM(AM8:AM18)</f>
        <v>8950289.069999998</v>
      </c>
      <c r="AN7" s="27">
        <f t="shared" si="3"/>
        <v>735928.03</v>
      </c>
      <c r="AO7" s="27">
        <f t="shared" si="3"/>
        <v>4138434.4299999997</v>
      </c>
      <c r="AP7" s="27">
        <f t="shared" si="3"/>
        <v>1621486.59</v>
      </c>
      <c r="AQ7" s="27">
        <f t="shared" si="3"/>
        <v>1384050.46</v>
      </c>
      <c r="AR7" s="27">
        <f t="shared" si="3"/>
        <v>921569.05</v>
      </c>
      <c r="AS7" s="27">
        <f t="shared" si="3"/>
        <v>148820.51</v>
      </c>
      <c r="AT7" s="118">
        <f t="shared" si="3"/>
        <v>0</v>
      </c>
      <c r="AU7" s="27">
        <f t="shared" si="3"/>
        <v>0</v>
      </c>
      <c r="AV7" s="27">
        <f t="shared" si="3"/>
        <v>0</v>
      </c>
      <c r="AW7" s="27">
        <f t="shared" si="3"/>
        <v>0</v>
      </c>
      <c r="AX7" s="27">
        <f t="shared" si="3"/>
        <v>0</v>
      </c>
      <c r="AY7" s="27">
        <f t="shared" si="3"/>
        <v>0</v>
      </c>
      <c r="AZ7" s="27">
        <f t="shared" si="3"/>
        <v>0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</row>
    <row r="8" spans="1:52" ht="53.25" customHeight="1">
      <c r="A8" s="38"/>
      <c r="B8" s="47" t="s">
        <v>20</v>
      </c>
      <c r="C8" s="48"/>
      <c r="D8" s="49">
        <f aca="true" t="shared" si="4" ref="D8:D16">SUM(E8:I8)</f>
        <v>22.395</v>
      </c>
      <c r="E8" s="45">
        <v>22.395</v>
      </c>
      <c r="F8" s="45"/>
      <c r="G8" s="45"/>
      <c r="H8" s="45"/>
      <c r="I8" s="45"/>
      <c r="J8" s="45"/>
      <c r="K8" s="14">
        <f aca="true" t="shared" si="5" ref="K8:K22">R8/D8</f>
        <v>1393.7450323732976</v>
      </c>
      <c r="L8" s="13">
        <v>1393.74</v>
      </c>
      <c r="M8" s="13"/>
      <c r="N8" s="13"/>
      <c r="O8" s="13"/>
      <c r="P8" s="13"/>
      <c r="Q8" s="37"/>
      <c r="R8" s="15">
        <f aca="true" t="shared" si="6" ref="R8:R16">SUM(S8:W8)</f>
        <v>31212.92</v>
      </c>
      <c r="S8" s="50">
        <v>31212.92</v>
      </c>
      <c r="T8" s="50"/>
      <c r="U8" s="50"/>
      <c r="V8" s="50"/>
      <c r="W8" s="50"/>
      <c r="X8" s="13"/>
      <c r="Y8" s="67">
        <f aca="true" t="shared" si="7" ref="Y8:Y16">SUM(Z8:AD8)</f>
        <v>23.950700991576625</v>
      </c>
      <c r="Z8" s="97">
        <f>AN8/AG8</f>
        <v>23.950700991576625</v>
      </c>
      <c r="AA8" s="97"/>
      <c r="AB8" s="97"/>
      <c r="AC8" s="97"/>
      <c r="AD8" s="97"/>
      <c r="AE8" s="97"/>
      <c r="AF8" s="14">
        <f>AG8</f>
        <v>1393.74</v>
      </c>
      <c r="AG8" s="13">
        <v>1393.74</v>
      </c>
      <c r="AH8" s="13"/>
      <c r="AI8" s="13"/>
      <c r="AJ8" s="13"/>
      <c r="AK8" s="13"/>
      <c r="AL8" s="37"/>
      <c r="AM8" s="15">
        <f aca="true" t="shared" si="8" ref="AM8:AM16">SUM(AN8:AR8)</f>
        <v>33381.05</v>
      </c>
      <c r="AN8" s="50">
        <v>33381.05</v>
      </c>
      <c r="AO8" s="50"/>
      <c r="AP8" s="50"/>
      <c r="AQ8" s="50"/>
      <c r="AR8" s="50"/>
      <c r="AS8" s="13"/>
      <c r="AT8" s="15">
        <f aca="true" t="shared" si="9" ref="AT8:AT16">SUM(AU8:AY8)</f>
        <v>0</v>
      </c>
      <c r="AU8" s="37">
        <f>(L8-AG8)*E8</f>
        <v>0</v>
      </c>
      <c r="AV8" s="37"/>
      <c r="AW8" s="37"/>
      <c r="AX8" s="37"/>
      <c r="AY8" s="37"/>
      <c r="AZ8" s="13"/>
    </row>
    <row r="9" spans="1:52" ht="53.25" customHeight="1">
      <c r="A9" s="38"/>
      <c r="B9" s="47" t="s">
        <v>21</v>
      </c>
      <c r="C9" s="48"/>
      <c r="D9" s="51">
        <f t="shared" si="4"/>
        <v>37.382</v>
      </c>
      <c r="E9" s="45"/>
      <c r="F9" s="45"/>
      <c r="G9" s="52">
        <v>37.382</v>
      </c>
      <c r="H9" s="45"/>
      <c r="I9" s="45"/>
      <c r="J9" s="45"/>
      <c r="K9" s="14">
        <f t="shared" si="5"/>
        <v>1306.6256487079343</v>
      </c>
      <c r="L9" s="13"/>
      <c r="M9" s="13"/>
      <c r="N9" s="13">
        <v>1306.63</v>
      </c>
      <c r="O9" s="13"/>
      <c r="P9" s="13"/>
      <c r="Q9" s="37"/>
      <c r="R9" s="15">
        <f t="shared" si="6"/>
        <v>48844.28</v>
      </c>
      <c r="S9" s="50"/>
      <c r="T9" s="50"/>
      <c r="U9" s="50">
        <v>48844.28</v>
      </c>
      <c r="V9" s="50"/>
      <c r="W9" s="50"/>
      <c r="X9" s="13"/>
      <c r="Y9" s="67">
        <f t="shared" si="7"/>
        <v>37.38200561750457</v>
      </c>
      <c r="Z9" s="97"/>
      <c r="AA9" s="97"/>
      <c r="AB9" s="97">
        <f>AP9/AI9</f>
        <v>37.38200561750457</v>
      </c>
      <c r="AC9" s="97"/>
      <c r="AD9" s="97"/>
      <c r="AE9" s="97"/>
      <c r="AF9" s="14">
        <f>AI9</f>
        <v>1306.63</v>
      </c>
      <c r="AG9" s="13"/>
      <c r="AH9" s="13"/>
      <c r="AI9" s="13">
        <v>1306.63</v>
      </c>
      <c r="AJ9" s="13"/>
      <c r="AK9" s="13"/>
      <c r="AL9" s="37"/>
      <c r="AM9" s="15">
        <f t="shared" si="8"/>
        <v>48844.45</v>
      </c>
      <c r="AN9" s="50"/>
      <c r="AO9" s="50"/>
      <c r="AP9" s="50">
        <v>48844.45</v>
      </c>
      <c r="AQ9" s="50"/>
      <c r="AR9" s="50"/>
      <c r="AS9" s="13"/>
      <c r="AT9" s="15">
        <f t="shared" si="9"/>
        <v>0</v>
      </c>
      <c r="AU9" s="37"/>
      <c r="AV9" s="37"/>
      <c r="AW9" s="37">
        <f>(N9-AI9)*G9</f>
        <v>0</v>
      </c>
      <c r="AX9" s="37"/>
      <c r="AY9" s="37"/>
      <c r="AZ9" s="13"/>
    </row>
    <row r="10" spans="1:52" ht="54.75" customHeight="1">
      <c r="A10" s="40"/>
      <c r="B10" s="54" t="s">
        <v>43</v>
      </c>
      <c r="C10" s="40"/>
      <c r="D10" s="49">
        <f t="shared" si="4"/>
        <v>743.935</v>
      </c>
      <c r="E10" s="45"/>
      <c r="F10" s="45">
        <v>743.935</v>
      </c>
      <c r="G10" s="45"/>
      <c r="H10" s="45"/>
      <c r="I10" s="45"/>
      <c r="J10" s="45"/>
      <c r="K10" s="14">
        <f t="shared" si="5"/>
        <v>1306.6300012769934</v>
      </c>
      <c r="L10" s="13"/>
      <c r="M10" s="13">
        <v>1306.63</v>
      </c>
      <c r="N10" s="13"/>
      <c r="O10" s="13"/>
      <c r="P10" s="13"/>
      <c r="Q10" s="37"/>
      <c r="R10" s="15">
        <f t="shared" si="6"/>
        <v>972047.79</v>
      </c>
      <c r="S10" s="13"/>
      <c r="T10" s="13">
        <v>972047.79</v>
      </c>
      <c r="U10" s="13"/>
      <c r="V10" s="13"/>
      <c r="W10" s="13"/>
      <c r="X10" s="37"/>
      <c r="Y10" s="67">
        <f t="shared" si="7"/>
        <v>743.9352456318927</v>
      </c>
      <c r="Z10" s="97"/>
      <c r="AA10" s="97">
        <f>AO10/AH10</f>
        <v>743.9352456318927</v>
      </c>
      <c r="AB10" s="97"/>
      <c r="AC10" s="97"/>
      <c r="AD10" s="97"/>
      <c r="AE10" s="97"/>
      <c r="AF10" s="14">
        <f>AH10</f>
        <v>1306.63</v>
      </c>
      <c r="AG10" s="13"/>
      <c r="AH10" s="127">
        <v>1306.63</v>
      </c>
      <c r="AI10" s="13"/>
      <c r="AJ10" s="13"/>
      <c r="AK10" s="13"/>
      <c r="AL10" s="37"/>
      <c r="AM10" s="15">
        <f t="shared" si="8"/>
        <v>972048.11</v>
      </c>
      <c r="AN10" s="13"/>
      <c r="AO10" s="13">
        <v>972048.11</v>
      </c>
      <c r="AP10" s="13"/>
      <c r="AQ10" s="13"/>
      <c r="AR10" s="13"/>
      <c r="AS10" s="13"/>
      <c r="AT10" s="15">
        <f t="shared" si="9"/>
        <v>0</v>
      </c>
      <c r="AU10" s="37"/>
      <c r="AV10" s="37">
        <f>(M10-AH10)*F10</f>
        <v>0</v>
      </c>
      <c r="AW10" s="37"/>
      <c r="AX10" s="37"/>
      <c r="AY10" s="37"/>
      <c r="AZ10" s="13"/>
    </row>
    <row r="11" spans="1:52" ht="42" customHeight="1">
      <c r="A11" s="40"/>
      <c r="B11" s="54" t="s">
        <v>22</v>
      </c>
      <c r="C11" s="40"/>
      <c r="D11" s="41">
        <f t="shared" si="4"/>
        <v>6.945</v>
      </c>
      <c r="E11" s="42"/>
      <c r="F11" s="42"/>
      <c r="G11" s="42">
        <v>6.945</v>
      </c>
      <c r="H11" s="42"/>
      <c r="I11" s="42"/>
      <c r="J11" s="42"/>
      <c r="K11" s="14">
        <f t="shared" si="5"/>
        <v>1306.6263498920086</v>
      </c>
      <c r="L11" s="13"/>
      <c r="M11" s="13"/>
      <c r="N11" s="13">
        <v>1306.63</v>
      </c>
      <c r="O11" s="13"/>
      <c r="P11" s="13"/>
      <c r="Q11" s="13"/>
      <c r="R11" s="14">
        <f t="shared" si="6"/>
        <v>9074.52</v>
      </c>
      <c r="S11" s="13"/>
      <c r="T11" s="13"/>
      <c r="U11" s="13">
        <v>9074.52</v>
      </c>
      <c r="V11" s="13"/>
      <c r="W11" s="13"/>
      <c r="X11" s="13"/>
      <c r="Y11" s="64">
        <f t="shared" si="7"/>
        <v>7.3775743707093815</v>
      </c>
      <c r="Z11" s="65"/>
      <c r="AA11" s="65"/>
      <c r="AB11" s="65">
        <f>AP11/AI11</f>
        <v>7.3775743707093815</v>
      </c>
      <c r="AC11" s="65"/>
      <c r="AD11" s="65"/>
      <c r="AE11" s="65"/>
      <c r="AF11" s="14">
        <f>AI11</f>
        <v>1306.63</v>
      </c>
      <c r="AG11" s="13"/>
      <c r="AH11" s="13"/>
      <c r="AI11" s="13">
        <v>1306.63</v>
      </c>
      <c r="AJ11" s="13"/>
      <c r="AK11" s="13"/>
      <c r="AL11" s="13"/>
      <c r="AM11" s="14">
        <f t="shared" si="8"/>
        <v>9639.76</v>
      </c>
      <c r="AN11" s="13"/>
      <c r="AO11" s="13"/>
      <c r="AP11" s="13">
        <v>9639.76</v>
      </c>
      <c r="AQ11" s="13"/>
      <c r="AR11" s="13"/>
      <c r="AS11" s="13"/>
      <c r="AT11" s="14">
        <f t="shared" si="9"/>
        <v>0</v>
      </c>
      <c r="AU11" s="37"/>
      <c r="AV11" s="37"/>
      <c r="AW11" s="37">
        <f>(N11-AI11)*G11</f>
        <v>0</v>
      </c>
      <c r="AX11" s="37"/>
      <c r="AY11" s="37"/>
      <c r="AZ11" s="13"/>
    </row>
    <row r="12" spans="1:52" ht="33" customHeight="1">
      <c r="A12" s="30"/>
      <c r="B12" s="31" t="s">
        <v>17</v>
      </c>
      <c r="C12" s="32"/>
      <c r="D12" s="33">
        <f t="shared" si="4"/>
        <v>3972.6326</v>
      </c>
      <c r="E12" s="138">
        <v>537.6418</v>
      </c>
      <c r="F12" s="138">
        <v>548.1344</v>
      </c>
      <c r="G12" s="138">
        <v>1187.6185</v>
      </c>
      <c r="H12" s="138">
        <v>1059.3169</v>
      </c>
      <c r="I12" s="138">
        <v>639.921</v>
      </c>
      <c r="J12" s="34"/>
      <c r="K12" s="35">
        <f t="shared" si="5"/>
        <v>1306.6257977140901</v>
      </c>
      <c r="L12" s="37">
        <v>1306.63</v>
      </c>
      <c r="M12" s="37">
        <f>L12</f>
        <v>1306.63</v>
      </c>
      <c r="N12" s="37">
        <f>M12</f>
        <v>1306.63</v>
      </c>
      <c r="O12" s="37">
        <f>N12</f>
        <v>1306.63</v>
      </c>
      <c r="P12" s="37">
        <f>O12</f>
        <v>1306.63</v>
      </c>
      <c r="Q12" s="36"/>
      <c r="R12" s="35">
        <f t="shared" si="6"/>
        <v>5190744.24</v>
      </c>
      <c r="S12" s="36">
        <v>702496.65</v>
      </c>
      <c r="T12" s="36">
        <v>716206.54</v>
      </c>
      <c r="U12" s="36">
        <v>1551772.97</v>
      </c>
      <c r="V12" s="36">
        <v>1384130.79</v>
      </c>
      <c r="W12" s="36">
        <v>836137.29</v>
      </c>
      <c r="X12" s="36"/>
      <c r="Y12" s="62">
        <f t="shared" si="7"/>
        <v>3970.5052157075834</v>
      </c>
      <c r="Z12" s="34">
        <f>AN12/AG12</f>
        <v>537.6785930217429</v>
      </c>
      <c r="AA12" s="34">
        <f>AO12/AH12</f>
        <v>544.2950261359374</v>
      </c>
      <c r="AB12" s="34">
        <f>AP12/AI12</f>
        <v>1189.4459028187016</v>
      </c>
      <c r="AC12" s="34">
        <f>AQ12/AJ12</f>
        <v>1059.252014724903</v>
      </c>
      <c r="AD12" s="34">
        <f>AR12/AK12</f>
        <v>639.8336790062986</v>
      </c>
      <c r="AE12" s="34"/>
      <c r="AF12" s="15">
        <f>AG12</f>
        <v>1306.63</v>
      </c>
      <c r="AG12" s="37">
        <v>1306.63</v>
      </c>
      <c r="AH12" s="37">
        <f>AG12</f>
        <v>1306.63</v>
      </c>
      <c r="AI12" s="37">
        <f>AH12</f>
        <v>1306.63</v>
      </c>
      <c r="AJ12" s="37">
        <f>AI12</f>
        <v>1306.63</v>
      </c>
      <c r="AK12" s="37">
        <f>AJ12</f>
        <v>1306.63</v>
      </c>
      <c r="AL12" s="36"/>
      <c r="AM12" s="35">
        <f t="shared" si="8"/>
        <v>5187981.2299999995</v>
      </c>
      <c r="AN12" s="36">
        <f>316107.14+386439.84</f>
        <v>702546.98</v>
      </c>
      <c r="AO12" s="36">
        <f>329090.6+201677.53+180424.08</f>
        <v>711192.21</v>
      </c>
      <c r="AP12" s="36">
        <f>600134.14+954031.56</f>
        <v>1554165.7000000002</v>
      </c>
      <c r="AQ12" s="36">
        <f>816981.95+421090.11+145978.4</f>
        <v>1384050.46</v>
      </c>
      <c r="AR12" s="36">
        <f>836025.88</f>
        <v>836025.88</v>
      </c>
      <c r="AS12" s="36"/>
      <c r="AT12" s="35">
        <f t="shared" si="9"/>
        <v>0</v>
      </c>
      <c r="AU12" s="37">
        <f>(L12-AG12)*E12</f>
        <v>0</v>
      </c>
      <c r="AV12" s="37">
        <f>(M12-AH12)*F12</f>
        <v>0</v>
      </c>
      <c r="AW12" s="37">
        <f>(N12-AI12)*G12</f>
        <v>0</v>
      </c>
      <c r="AX12" s="37">
        <f>(O12-AJ12)*H12</f>
        <v>0</v>
      </c>
      <c r="AY12" s="37">
        <f>(P12-AK12)*I12</f>
        <v>0</v>
      </c>
      <c r="AZ12" s="37"/>
    </row>
    <row r="13" spans="1:52" ht="63.75" customHeight="1">
      <c r="A13" s="38"/>
      <c r="B13" s="39" t="s">
        <v>42</v>
      </c>
      <c r="C13" s="40"/>
      <c r="D13" s="41">
        <f t="shared" si="4"/>
        <v>65.469</v>
      </c>
      <c r="E13" s="42"/>
      <c r="F13" s="42"/>
      <c r="G13" s="42"/>
      <c r="H13" s="42"/>
      <c r="I13" s="76">
        <v>65.469</v>
      </c>
      <c r="J13" s="42"/>
      <c r="K13" s="14">
        <f t="shared" si="5"/>
        <v>1306.6209961966733</v>
      </c>
      <c r="L13" s="13"/>
      <c r="M13" s="13"/>
      <c r="N13" s="13"/>
      <c r="O13" s="13"/>
      <c r="P13" s="13">
        <v>1306.63</v>
      </c>
      <c r="Q13" s="13"/>
      <c r="R13" s="14">
        <f t="shared" si="6"/>
        <v>85543.17</v>
      </c>
      <c r="S13" s="13"/>
      <c r="T13" s="13"/>
      <c r="U13" s="13"/>
      <c r="V13" s="13"/>
      <c r="W13" s="13">
        <v>85543.17</v>
      </c>
      <c r="X13" s="13"/>
      <c r="Y13" s="64">
        <f t="shared" si="7"/>
        <v>65.46854886234051</v>
      </c>
      <c r="Z13" s="65"/>
      <c r="AA13" s="65"/>
      <c r="AB13" s="65"/>
      <c r="AC13" s="65"/>
      <c r="AD13" s="65">
        <f>AR13/AK13</f>
        <v>65.46854886234051</v>
      </c>
      <c r="AE13" s="65"/>
      <c r="AF13" s="14">
        <f>AK13</f>
        <v>1306.63</v>
      </c>
      <c r="AG13" s="13"/>
      <c r="AH13" s="13"/>
      <c r="AI13" s="13"/>
      <c r="AJ13" s="13"/>
      <c r="AK13" s="13">
        <v>1306.63</v>
      </c>
      <c r="AL13" s="13"/>
      <c r="AM13" s="14">
        <f t="shared" si="8"/>
        <v>85543.17</v>
      </c>
      <c r="AN13" s="13"/>
      <c r="AO13" s="13"/>
      <c r="AP13" s="13"/>
      <c r="AQ13" s="13"/>
      <c r="AR13" s="13">
        <v>85543.17</v>
      </c>
      <c r="AS13" s="13"/>
      <c r="AT13" s="14">
        <f t="shared" si="9"/>
        <v>0</v>
      </c>
      <c r="AU13" s="37"/>
      <c r="AV13" s="37"/>
      <c r="AW13" s="37"/>
      <c r="AX13" s="37"/>
      <c r="AY13" s="37">
        <f>(P13-AK13)*I13</f>
        <v>0</v>
      </c>
      <c r="AZ13" s="13"/>
    </row>
    <row r="14" spans="1:52" ht="37.5" customHeight="1">
      <c r="A14" s="38"/>
      <c r="B14" s="54" t="s">
        <v>23</v>
      </c>
      <c r="C14" s="40"/>
      <c r="D14" s="51">
        <f t="shared" si="4"/>
        <v>112.046</v>
      </c>
      <c r="E14" s="45"/>
      <c r="F14" s="52">
        <v>112.046</v>
      </c>
      <c r="G14" s="45"/>
      <c r="H14" s="45"/>
      <c r="I14" s="45"/>
      <c r="J14" s="45"/>
      <c r="K14" s="14">
        <f t="shared" si="5"/>
        <v>1306.6258500972815</v>
      </c>
      <c r="L14" s="13"/>
      <c r="M14" s="13">
        <v>1306.63</v>
      </c>
      <c r="N14" s="13"/>
      <c r="O14" s="13"/>
      <c r="P14" s="13"/>
      <c r="Q14" s="37"/>
      <c r="R14" s="15">
        <f t="shared" si="6"/>
        <v>146402.2</v>
      </c>
      <c r="S14" s="13"/>
      <c r="T14" s="13">
        <v>146402.2</v>
      </c>
      <c r="U14" s="13"/>
      <c r="V14" s="13"/>
      <c r="W14" s="13"/>
      <c r="X14" s="13"/>
      <c r="Y14" s="67">
        <f t="shared" si="7"/>
        <v>112.04570536418113</v>
      </c>
      <c r="Z14" s="97"/>
      <c r="AA14" s="97">
        <f>AO14/AH14</f>
        <v>112.04570536418113</v>
      </c>
      <c r="AB14" s="97"/>
      <c r="AC14" s="97"/>
      <c r="AD14" s="97"/>
      <c r="AE14" s="97"/>
      <c r="AF14" s="14">
        <f>AH14</f>
        <v>1306.63</v>
      </c>
      <c r="AG14" s="13"/>
      <c r="AH14" s="13">
        <v>1306.63</v>
      </c>
      <c r="AI14" s="13"/>
      <c r="AJ14" s="13"/>
      <c r="AK14" s="13"/>
      <c r="AL14" s="37"/>
      <c r="AM14" s="15">
        <f t="shared" si="8"/>
        <v>146402.28</v>
      </c>
      <c r="AN14" s="13"/>
      <c r="AO14" s="13">
        <v>146402.28</v>
      </c>
      <c r="AP14" s="13"/>
      <c r="AQ14" s="13"/>
      <c r="AR14" s="13"/>
      <c r="AS14" s="13"/>
      <c r="AT14" s="15">
        <f t="shared" si="9"/>
        <v>0</v>
      </c>
      <c r="AU14" s="37"/>
      <c r="AV14" s="37">
        <f>(M14-AH14)*F14</f>
        <v>0</v>
      </c>
      <c r="AW14" s="37"/>
      <c r="AX14" s="37"/>
      <c r="AY14" s="37"/>
      <c r="AZ14" s="13"/>
    </row>
    <row r="15" spans="1:52" ht="35.25" customHeight="1">
      <c r="A15" s="38"/>
      <c r="B15" s="39" t="s">
        <v>18</v>
      </c>
      <c r="C15" s="40"/>
      <c r="D15" s="75">
        <f t="shared" si="4"/>
        <v>6.763</v>
      </c>
      <c r="E15" s="42"/>
      <c r="F15" s="42"/>
      <c r="G15" s="76">
        <v>6.763</v>
      </c>
      <c r="H15" s="42"/>
      <c r="I15" s="42"/>
      <c r="J15" s="42"/>
      <c r="K15" s="14">
        <f t="shared" si="5"/>
        <v>1306.6213218985658</v>
      </c>
      <c r="L15" s="13"/>
      <c r="M15" s="13"/>
      <c r="N15" s="13">
        <v>1306.63</v>
      </c>
      <c r="O15" s="13"/>
      <c r="P15" s="13"/>
      <c r="Q15" s="13"/>
      <c r="R15" s="14">
        <f t="shared" si="6"/>
        <v>8836.68</v>
      </c>
      <c r="S15" s="13"/>
      <c r="T15" s="13"/>
      <c r="U15" s="13">
        <v>8836.68</v>
      </c>
      <c r="V15" s="13"/>
      <c r="W15" s="13"/>
      <c r="X15" s="13"/>
      <c r="Y15" s="64">
        <f t="shared" si="7"/>
        <v>6.762955082923245</v>
      </c>
      <c r="Z15" s="65"/>
      <c r="AA15" s="65"/>
      <c r="AB15" s="65">
        <f>AP15/AI15</f>
        <v>6.762955082923245</v>
      </c>
      <c r="AC15" s="65"/>
      <c r="AD15" s="65"/>
      <c r="AE15" s="65"/>
      <c r="AF15" s="14">
        <f>AI15</f>
        <v>1306.63</v>
      </c>
      <c r="AG15" s="13"/>
      <c r="AH15" s="13"/>
      <c r="AI15" s="13">
        <v>1306.63</v>
      </c>
      <c r="AJ15" s="13"/>
      <c r="AK15" s="13"/>
      <c r="AL15" s="13"/>
      <c r="AM15" s="14">
        <f t="shared" si="8"/>
        <v>8836.68</v>
      </c>
      <c r="AN15" s="13"/>
      <c r="AO15" s="13"/>
      <c r="AP15" s="13">
        <v>8836.68</v>
      </c>
      <c r="AQ15" s="13"/>
      <c r="AR15" s="13"/>
      <c r="AS15" s="13"/>
      <c r="AT15" s="14">
        <f t="shared" si="9"/>
        <v>0</v>
      </c>
      <c r="AU15" s="37"/>
      <c r="AV15" s="37"/>
      <c r="AW15" s="37">
        <f>(N15-AI15)*G15</f>
        <v>0</v>
      </c>
      <c r="AX15" s="37"/>
      <c r="AY15" s="37"/>
      <c r="AZ15" s="13"/>
    </row>
    <row r="16" spans="1:52" ht="56.25" customHeight="1">
      <c r="A16" s="9"/>
      <c r="B16" s="43" t="s">
        <v>41</v>
      </c>
      <c r="C16" s="32"/>
      <c r="D16" s="44">
        <f t="shared" si="4"/>
        <v>1763.02842</v>
      </c>
      <c r="E16" s="45"/>
      <c r="F16" s="46">
        <v>1763.02842</v>
      </c>
      <c r="G16" s="45"/>
      <c r="H16" s="45"/>
      <c r="I16" s="45"/>
      <c r="J16" s="45"/>
      <c r="K16" s="14">
        <f t="shared" si="5"/>
        <v>1306.6299974903409</v>
      </c>
      <c r="L16" s="13"/>
      <c r="M16" s="13">
        <v>1306.63</v>
      </c>
      <c r="N16" s="13"/>
      <c r="O16" s="13"/>
      <c r="P16" s="13"/>
      <c r="Q16" s="37"/>
      <c r="R16" s="15">
        <f t="shared" si="6"/>
        <v>2303625.82</v>
      </c>
      <c r="S16" s="36"/>
      <c r="T16" s="36">
        <v>2303625.82</v>
      </c>
      <c r="U16" s="36"/>
      <c r="V16" s="36"/>
      <c r="W16" s="36"/>
      <c r="X16" s="36"/>
      <c r="Y16" s="67">
        <f t="shared" si="7"/>
        <v>1766.9821066407476</v>
      </c>
      <c r="Z16" s="97"/>
      <c r="AA16" s="97">
        <f>AO16/AH16</f>
        <v>1766.9821066407476</v>
      </c>
      <c r="AB16" s="97"/>
      <c r="AC16" s="97"/>
      <c r="AD16" s="97"/>
      <c r="AE16" s="97"/>
      <c r="AF16" s="14">
        <f>AH16</f>
        <v>1306.63</v>
      </c>
      <c r="AG16" s="13"/>
      <c r="AH16" s="13">
        <v>1306.63</v>
      </c>
      <c r="AI16" s="13"/>
      <c r="AJ16" s="13"/>
      <c r="AK16" s="13"/>
      <c r="AL16" s="37"/>
      <c r="AM16" s="15">
        <f t="shared" si="8"/>
        <v>2308791.83</v>
      </c>
      <c r="AN16" s="36"/>
      <c r="AO16" s="36">
        <v>2308791.83</v>
      </c>
      <c r="AP16" s="36"/>
      <c r="AQ16" s="36"/>
      <c r="AR16" s="36"/>
      <c r="AS16" s="13"/>
      <c r="AT16" s="15">
        <f t="shared" si="9"/>
        <v>0</v>
      </c>
      <c r="AU16" s="37"/>
      <c r="AV16" s="37">
        <f>(M16-AH16)*F16</f>
        <v>0</v>
      </c>
      <c r="AW16" s="37"/>
      <c r="AX16" s="37"/>
      <c r="AY16" s="37"/>
      <c r="AZ16" s="13"/>
    </row>
    <row r="17" spans="1:52" ht="58.5" customHeight="1">
      <c r="A17" s="38">
        <v>36</v>
      </c>
      <c r="B17" s="39" t="s">
        <v>37</v>
      </c>
      <c r="C17" s="106"/>
      <c r="D17" s="75">
        <f>SUM(E17:J17)</f>
        <v>21.082</v>
      </c>
      <c r="E17" s="42"/>
      <c r="F17" s="42"/>
      <c r="G17" s="76"/>
      <c r="H17" s="42"/>
      <c r="I17" s="107"/>
      <c r="J17" s="76">
        <v>21.082</v>
      </c>
      <c r="K17" s="14">
        <f t="shared" si="5"/>
        <v>1163.8459349207856</v>
      </c>
      <c r="L17" s="13"/>
      <c r="M17" s="13"/>
      <c r="N17" s="13"/>
      <c r="O17" s="13"/>
      <c r="P17" s="109"/>
      <c r="Q17" s="109">
        <v>1163.85</v>
      </c>
      <c r="R17" s="14">
        <f>SUM(S17:X17)</f>
        <v>24536.2</v>
      </c>
      <c r="S17" s="13"/>
      <c r="T17" s="13"/>
      <c r="U17" s="13"/>
      <c r="V17" s="13"/>
      <c r="W17" s="13"/>
      <c r="X17" s="13">
        <v>24536.2</v>
      </c>
      <c r="Y17" s="64">
        <f>AE17</f>
        <v>21.082493448468448</v>
      </c>
      <c r="Z17" s="65"/>
      <c r="AA17" s="65"/>
      <c r="AB17" s="65"/>
      <c r="AC17" s="65"/>
      <c r="AD17" s="65"/>
      <c r="AE17" s="65">
        <f>AS17/AL17</f>
        <v>21.082493448468448</v>
      </c>
      <c r="AF17" s="14">
        <f>AL17</f>
        <v>1163.85</v>
      </c>
      <c r="AG17" s="13"/>
      <c r="AH17" s="13"/>
      <c r="AI17" s="13"/>
      <c r="AJ17" s="13"/>
      <c r="AK17" s="109"/>
      <c r="AL17" s="109">
        <v>1163.85</v>
      </c>
      <c r="AM17" s="14">
        <f>AS17</f>
        <v>24536.86</v>
      </c>
      <c r="AN17" s="13"/>
      <c r="AO17" s="13"/>
      <c r="AP17" s="13"/>
      <c r="AQ17" s="13"/>
      <c r="AR17" s="13"/>
      <c r="AS17" s="13">
        <v>24536.86</v>
      </c>
      <c r="AT17" s="14">
        <f>SUM(AU17:AZ17)</f>
        <v>0</v>
      </c>
      <c r="AU17" s="13"/>
      <c r="AV17" s="13"/>
      <c r="AW17" s="13"/>
      <c r="AX17" s="13"/>
      <c r="AY17" s="13"/>
      <c r="AZ17" s="37">
        <f>(Q17-AL17)*J17</f>
        <v>0</v>
      </c>
    </row>
    <row r="18" spans="1:52" ht="88.5" customHeight="1" thickBot="1">
      <c r="A18" s="30"/>
      <c r="B18" s="31" t="s">
        <v>38</v>
      </c>
      <c r="D18" s="75">
        <f>SUM(E18:J18)</f>
        <v>103.569</v>
      </c>
      <c r="E18" s="56"/>
      <c r="F18" s="56"/>
      <c r="G18" s="102"/>
      <c r="H18" s="56"/>
      <c r="I18" s="103"/>
      <c r="J18" s="76">
        <v>103.569</v>
      </c>
      <c r="K18" s="14">
        <f t="shared" si="5"/>
        <v>1200.0007724319053</v>
      </c>
      <c r="L18" s="36"/>
      <c r="M18" s="36"/>
      <c r="N18" s="36"/>
      <c r="O18" s="36"/>
      <c r="P18" s="105"/>
      <c r="Q18" s="105">
        <v>1200</v>
      </c>
      <c r="R18" s="14">
        <f>SUM(S18:X18)</f>
        <v>124282.88</v>
      </c>
      <c r="S18" s="36"/>
      <c r="T18" s="36"/>
      <c r="U18" s="36"/>
      <c r="V18" s="36"/>
      <c r="W18" s="36"/>
      <c r="X18" s="36">
        <v>124282.88</v>
      </c>
      <c r="Y18" s="62">
        <f>AE18</f>
        <v>103.56970833333332</v>
      </c>
      <c r="Z18" s="34"/>
      <c r="AA18" s="34"/>
      <c r="AB18" s="34"/>
      <c r="AC18" s="34"/>
      <c r="AD18" s="34"/>
      <c r="AE18" s="65">
        <f>AS18/AL18</f>
        <v>103.56970833333332</v>
      </c>
      <c r="AF18" s="35">
        <f>AL18</f>
        <v>1200</v>
      </c>
      <c r="AG18" s="36"/>
      <c r="AH18" s="36"/>
      <c r="AI18" s="36"/>
      <c r="AJ18" s="36"/>
      <c r="AK18" s="105"/>
      <c r="AL18" s="105">
        <v>1200</v>
      </c>
      <c r="AM18" s="35">
        <f>AS18</f>
        <v>124283.65</v>
      </c>
      <c r="AN18" s="36"/>
      <c r="AO18" s="36"/>
      <c r="AP18" s="36"/>
      <c r="AQ18" s="36"/>
      <c r="AR18" s="36"/>
      <c r="AS18" s="36">
        <v>124283.65</v>
      </c>
      <c r="AT18" s="57">
        <f>SUM(AU18:AZ18)</f>
        <v>0</v>
      </c>
      <c r="AU18" s="50"/>
      <c r="AV18" s="50"/>
      <c r="AW18" s="50"/>
      <c r="AX18" s="50"/>
      <c r="AY18" s="50"/>
      <c r="AZ18" s="37">
        <f>(Q18-AL18)*J18</f>
        <v>0</v>
      </c>
    </row>
    <row r="19" spans="1:65" s="29" customFormat="1" ht="43.5" customHeight="1" thickBot="1">
      <c r="A19" s="23">
        <v>2</v>
      </c>
      <c r="B19" s="24" t="s">
        <v>0</v>
      </c>
      <c r="C19" s="58" t="s">
        <v>5</v>
      </c>
      <c r="D19" s="25">
        <f aca="true" t="shared" si="10" ref="D19:J19">SUM(D20:D26)</f>
        <v>23275.696099999997</v>
      </c>
      <c r="E19" s="59">
        <f t="shared" si="10"/>
        <v>577.7891</v>
      </c>
      <c r="F19" s="59">
        <f t="shared" si="10"/>
        <v>9868.494200000001</v>
      </c>
      <c r="G19" s="59">
        <f t="shared" si="10"/>
        <v>7168.7235</v>
      </c>
      <c r="H19" s="59">
        <f t="shared" si="10"/>
        <v>1116.6735</v>
      </c>
      <c r="I19" s="59">
        <f t="shared" si="10"/>
        <v>4404.4158</v>
      </c>
      <c r="J19" s="59">
        <f t="shared" si="10"/>
        <v>139.6</v>
      </c>
      <c r="K19" s="27">
        <f t="shared" si="5"/>
        <v>97.79365954172259</v>
      </c>
      <c r="L19" s="61">
        <f>L22</f>
        <v>91.02</v>
      </c>
      <c r="M19" s="27">
        <f>T19/F19</f>
        <v>102.21187949829265</v>
      </c>
      <c r="N19" s="27">
        <f>U19/G19</f>
        <v>94.7512622017016</v>
      </c>
      <c r="O19" s="27">
        <f>O22</f>
        <v>90.44</v>
      </c>
      <c r="P19" s="27">
        <f>W19/I19</f>
        <v>95.76315887341973</v>
      </c>
      <c r="Q19" s="27">
        <f>Q26</f>
        <v>92.65</v>
      </c>
      <c r="R19" s="27">
        <f aca="true" t="shared" si="11" ref="R19:AE19">SUM(R20:R26)</f>
        <v>2276215.5</v>
      </c>
      <c r="S19" s="27">
        <f t="shared" si="11"/>
        <v>52587.97</v>
      </c>
      <c r="T19" s="27">
        <f t="shared" si="11"/>
        <v>1008677.34</v>
      </c>
      <c r="U19" s="27">
        <f t="shared" si="11"/>
        <v>679245.6000000001</v>
      </c>
      <c r="V19" s="27">
        <f t="shared" si="11"/>
        <v>100989.25</v>
      </c>
      <c r="W19" s="27">
        <f t="shared" si="11"/>
        <v>421780.77</v>
      </c>
      <c r="X19" s="27">
        <f t="shared" si="11"/>
        <v>12934.57</v>
      </c>
      <c r="Y19" s="59">
        <f t="shared" si="11"/>
        <v>23228.7052057075</v>
      </c>
      <c r="Z19" s="59">
        <f t="shared" si="11"/>
        <v>577.7891440501044</v>
      </c>
      <c r="AA19" s="59">
        <f t="shared" si="11"/>
        <v>9847.586376301828</v>
      </c>
      <c r="AB19" s="59">
        <f t="shared" si="11"/>
        <v>7168.723693849533</v>
      </c>
      <c r="AC19" s="59">
        <f t="shared" si="11"/>
        <v>1116.6734851835472</v>
      </c>
      <c r="AD19" s="59">
        <f t="shared" si="11"/>
        <v>4378.332678996786</v>
      </c>
      <c r="AE19" s="59">
        <f t="shared" si="11"/>
        <v>139.59982732570688</v>
      </c>
      <c r="AF19" s="28">
        <f>AM19/Y19</f>
        <v>97.42190276899139</v>
      </c>
      <c r="AG19" s="101">
        <f>AG22</f>
        <v>91.01</v>
      </c>
      <c r="AH19" s="101">
        <f>AO19/AA19</f>
        <v>102.20914968790423</v>
      </c>
      <c r="AI19" s="101">
        <f>AP19/AB19</f>
        <v>94.75035013314279</v>
      </c>
      <c r="AJ19" s="101">
        <f>AJ22</f>
        <v>90.44</v>
      </c>
      <c r="AK19" s="27">
        <f>AR19/AD19</f>
        <v>93.80746510429833</v>
      </c>
      <c r="AL19" s="27">
        <f>AL26</f>
        <v>92.66</v>
      </c>
      <c r="AM19" s="27">
        <f aca="true" t="shared" si="12" ref="AM19:AZ19">SUM(AM20:AM26)</f>
        <v>2262984.66</v>
      </c>
      <c r="AN19" s="27">
        <f t="shared" si="12"/>
        <v>52584.59</v>
      </c>
      <c r="AO19" s="27">
        <f t="shared" si="12"/>
        <v>1006513.4299999999</v>
      </c>
      <c r="AP19" s="27">
        <f t="shared" si="12"/>
        <v>679239.08</v>
      </c>
      <c r="AQ19" s="27">
        <f t="shared" si="12"/>
        <v>100991.95</v>
      </c>
      <c r="AR19" s="27">
        <f t="shared" si="12"/>
        <v>410720.29000000004</v>
      </c>
      <c r="AS19" s="27">
        <f t="shared" si="12"/>
        <v>12935.32</v>
      </c>
      <c r="AT19" s="118">
        <f t="shared" si="12"/>
        <v>8609.782703000004</v>
      </c>
      <c r="AU19" s="27">
        <f t="shared" si="12"/>
        <v>5.777890999994745</v>
      </c>
      <c r="AV19" s="27">
        <f t="shared" si="12"/>
        <v>0</v>
      </c>
      <c r="AW19" s="27">
        <f t="shared" si="12"/>
        <v>3.4735000000017773</v>
      </c>
      <c r="AX19" s="27">
        <f t="shared" si="12"/>
        <v>0</v>
      </c>
      <c r="AY19" s="27">
        <f t="shared" si="12"/>
        <v>8601.927312000007</v>
      </c>
      <c r="AZ19" s="27">
        <f t="shared" si="12"/>
        <v>-1.3959999999987303</v>
      </c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</row>
    <row r="20" spans="1:52" s="4" customFormat="1" ht="41.25" customHeight="1">
      <c r="A20" s="70"/>
      <c r="B20" s="47" t="s">
        <v>24</v>
      </c>
      <c r="C20" s="47"/>
      <c r="D20" s="64">
        <f aca="true" t="shared" si="13" ref="D20:D25">SUM(E20:I20)</f>
        <v>347.35</v>
      </c>
      <c r="E20" s="69"/>
      <c r="F20" s="69"/>
      <c r="G20" s="69">
        <v>347.35</v>
      </c>
      <c r="H20" s="69"/>
      <c r="I20" s="69"/>
      <c r="J20" s="34"/>
      <c r="K20" s="14">
        <f t="shared" si="5"/>
        <v>104.3833021448107</v>
      </c>
      <c r="L20" s="50"/>
      <c r="M20" s="73"/>
      <c r="N20" s="142">
        <v>104.39</v>
      </c>
      <c r="O20" s="50"/>
      <c r="P20" s="50"/>
      <c r="Q20" s="50"/>
      <c r="R20" s="63">
        <f aca="true" t="shared" si="14" ref="R20:R25">SUM(S20:W20)</f>
        <v>36257.54</v>
      </c>
      <c r="S20" s="50"/>
      <c r="T20" s="50"/>
      <c r="U20" s="50">
        <v>36257.54</v>
      </c>
      <c r="V20" s="73"/>
      <c r="W20" s="73"/>
      <c r="X20" s="73"/>
      <c r="Y20" s="100">
        <f aca="true" t="shared" si="15" ref="Y20:Y25">SUM(Z20:AD20)</f>
        <v>347.35025867024336</v>
      </c>
      <c r="Z20" s="98"/>
      <c r="AA20" s="98"/>
      <c r="AB20" s="98">
        <f>AP20/AI20</f>
        <v>347.35025867024336</v>
      </c>
      <c r="AC20" s="98"/>
      <c r="AD20" s="98"/>
      <c r="AE20" s="98"/>
      <c r="AF20" s="63">
        <f>AI20</f>
        <v>104.38</v>
      </c>
      <c r="AG20" s="73"/>
      <c r="AH20" s="73"/>
      <c r="AI20" s="73">
        <v>104.38</v>
      </c>
      <c r="AJ20" s="73"/>
      <c r="AK20" s="73"/>
      <c r="AL20" s="73"/>
      <c r="AM20" s="63">
        <f aca="true" t="shared" si="16" ref="AM20:AM25">SUM(AN20:AR20)</f>
        <v>36256.42</v>
      </c>
      <c r="AN20" s="73"/>
      <c r="AO20" s="73"/>
      <c r="AP20" s="73">
        <v>36256.42</v>
      </c>
      <c r="AQ20" s="73"/>
      <c r="AR20" s="73"/>
      <c r="AS20" s="73"/>
      <c r="AT20" s="63">
        <f aca="true" t="shared" si="17" ref="AT20:AT25">SUM(AU20:AY20)</f>
        <v>3.4735000000017773</v>
      </c>
      <c r="AU20" s="73"/>
      <c r="AV20" s="73"/>
      <c r="AW20" s="37">
        <f>(N20-AI20)*G20</f>
        <v>3.4735000000017773</v>
      </c>
      <c r="AX20" s="73"/>
      <c r="AY20" s="73"/>
      <c r="AZ20" s="73"/>
    </row>
    <row r="21" spans="1:52" s="4" customFormat="1" ht="58.5" customHeight="1">
      <c r="A21" s="66"/>
      <c r="B21" s="55" t="s">
        <v>43</v>
      </c>
      <c r="C21" s="47"/>
      <c r="D21" s="62">
        <f t="shared" si="13"/>
        <v>16.709</v>
      </c>
      <c r="E21" s="68"/>
      <c r="F21" s="69">
        <v>16.709</v>
      </c>
      <c r="G21" s="69"/>
      <c r="H21" s="69"/>
      <c r="I21" s="69"/>
      <c r="J21" s="69"/>
      <c r="K21" s="57">
        <f t="shared" si="5"/>
        <v>83.73271889400921</v>
      </c>
      <c r="L21" s="50"/>
      <c r="M21" s="36">
        <v>83.75</v>
      </c>
      <c r="N21" s="50"/>
      <c r="O21" s="50"/>
      <c r="P21" s="50"/>
      <c r="Q21" s="50"/>
      <c r="R21" s="35">
        <f t="shared" si="14"/>
        <v>1399.09</v>
      </c>
      <c r="S21" s="50"/>
      <c r="T21" s="50">
        <f>262+1137.09</f>
        <v>1399.09</v>
      </c>
      <c r="U21" s="50"/>
      <c r="V21" s="36"/>
      <c r="W21" s="36"/>
      <c r="X21" s="36"/>
      <c r="Y21" s="62">
        <f t="shared" si="15"/>
        <v>16.70913432835821</v>
      </c>
      <c r="Z21" s="34"/>
      <c r="AA21" s="34">
        <f>AO21/AH21</f>
        <v>16.70913432835821</v>
      </c>
      <c r="AB21" s="34"/>
      <c r="AC21" s="34"/>
      <c r="AD21" s="34"/>
      <c r="AE21" s="34"/>
      <c r="AF21" s="14">
        <f>AH21</f>
        <v>83.75</v>
      </c>
      <c r="AG21" s="36"/>
      <c r="AH21" s="36">
        <v>83.75</v>
      </c>
      <c r="AI21" s="36"/>
      <c r="AJ21" s="36"/>
      <c r="AK21" s="36"/>
      <c r="AL21" s="36"/>
      <c r="AM21" s="35">
        <f t="shared" si="16"/>
        <v>1399.39</v>
      </c>
      <c r="AN21" s="36"/>
      <c r="AO21" s="36">
        <v>1399.39</v>
      </c>
      <c r="AP21" s="36"/>
      <c r="AQ21" s="36"/>
      <c r="AR21" s="36"/>
      <c r="AS21" s="36"/>
      <c r="AT21" s="35">
        <f t="shared" si="17"/>
        <v>0</v>
      </c>
      <c r="AU21" s="13"/>
      <c r="AV21" s="13">
        <f>(M21-AH21)*F21</f>
        <v>0</v>
      </c>
      <c r="AW21" s="13"/>
      <c r="AX21" s="13"/>
      <c r="AY21" s="13"/>
      <c r="AZ21" s="36"/>
    </row>
    <row r="22" spans="1:52" ht="40.5" customHeight="1">
      <c r="A22" s="9"/>
      <c r="B22" s="39" t="s">
        <v>35</v>
      </c>
      <c r="C22" s="40"/>
      <c r="D22" s="136">
        <f t="shared" si="13"/>
        <v>12934.499099999999</v>
      </c>
      <c r="E22" s="65">
        <v>577.7891</v>
      </c>
      <c r="F22" s="65">
        <v>492.8342</v>
      </c>
      <c r="G22" s="65">
        <v>6821.3735</v>
      </c>
      <c r="H22" s="65">
        <v>1116.6735</v>
      </c>
      <c r="I22" s="65">
        <v>3925.8288</v>
      </c>
      <c r="J22" s="65"/>
      <c r="K22" s="14">
        <f t="shared" si="5"/>
        <v>94.45056360937859</v>
      </c>
      <c r="L22" s="14">
        <v>91.02</v>
      </c>
      <c r="M22" s="13">
        <v>94.26</v>
      </c>
      <c r="N22" s="13">
        <f>M22</f>
        <v>94.26</v>
      </c>
      <c r="O22" s="13">
        <v>90.44</v>
      </c>
      <c r="P22" s="130">
        <f>W22/I22</f>
        <v>96.45111116409356</v>
      </c>
      <c r="Q22" s="13"/>
      <c r="R22" s="14">
        <f t="shared" si="14"/>
        <v>1221670.73</v>
      </c>
      <c r="S22" s="13">
        <v>52587.97</v>
      </c>
      <c r="T22" s="13">
        <v>46454.9</v>
      </c>
      <c r="U22" s="13">
        <v>642988.06</v>
      </c>
      <c r="V22" s="13">
        <v>100989.25</v>
      </c>
      <c r="W22" s="13">
        <v>378650.55</v>
      </c>
      <c r="X22" s="13"/>
      <c r="Y22" s="64">
        <f t="shared" si="15"/>
        <v>12908.416374194398</v>
      </c>
      <c r="Z22" s="65">
        <f>AN22/AG22</f>
        <v>577.7891440501044</v>
      </c>
      <c r="AA22" s="65">
        <f>AO22/AH22</f>
        <v>492.8341820496499</v>
      </c>
      <c r="AB22" s="65">
        <f>AP22/AI22</f>
        <v>6821.37343517929</v>
      </c>
      <c r="AC22" s="65">
        <f>AQ22/AJ22</f>
        <v>1116.6734851835472</v>
      </c>
      <c r="AD22" s="65">
        <f>AR22/AK22</f>
        <v>3899.7461277318057</v>
      </c>
      <c r="AE22" s="65"/>
      <c r="AF22" s="14">
        <f>AM22/Y22</f>
        <v>93.78406962608939</v>
      </c>
      <c r="AG22" s="13">
        <v>91.01</v>
      </c>
      <c r="AH22" s="13">
        <v>94.26</v>
      </c>
      <c r="AI22" s="13">
        <f>AH22</f>
        <v>94.26</v>
      </c>
      <c r="AJ22" s="13">
        <v>90.44</v>
      </c>
      <c r="AK22" s="13">
        <f>AH22</f>
        <v>94.26</v>
      </c>
      <c r="AL22" s="13"/>
      <c r="AM22" s="14">
        <f t="shared" si="16"/>
        <v>1210603.8199999998</v>
      </c>
      <c r="AN22" s="13">
        <f>52584.59</f>
        <v>52584.59</v>
      </c>
      <c r="AO22" s="13">
        <f>46454.55</f>
        <v>46454.55</v>
      </c>
      <c r="AP22" s="13">
        <f>228842.36+414140.3</f>
        <v>642982.6599999999</v>
      </c>
      <c r="AQ22" s="13">
        <f>100991.95</f>
        <v>100991.95</v>
      </c>
      <c r="AR22" s="13">
        <f>366859.37+730.7</f>
        <v>367590.07</v>
      </c>
      <c r="AS22" s="13"/>
      <c r="AT22" s="14">
        <f t="shared" si="17"/>
        <v>8607.705203000001</v>
      </c>
      <c r="AU22" s="37">
        <f>(L22-AG22)*E22</f>
        <v>5.777890999994745</v>
      </c>
      <c r="AV22" s="37">
        <f>(M22-AH22)*F22</f>
        <v>0</v>
      </c>
      <c r="AW22" s="37">
        <f>(N22-AI22)*G22</f>
        <v>0</v>
      </c>
      <c r="AX22" s="37">
        <f>(O22-AJ22)*H22</f>
        <v>0</v>
      </c>
      <c r="AY22" s="37">
        <f>(P22-AK22)*I22</f>
        <v>8601.927312000007</v>
      </c>
      <c r="AZ22" s="13"/>
    </row>
    <row r="23" spans="1:52" s="4" customFormat="1" ht="42" customHeight="1">
      <c r="A23" s="66"/>
      <c r="B23" s="39" t="s">
        <v>23</v>
      </c>
      <c r="C23" s="39"/>
      <c r="D23" s="64">
        <f t="shared" si="13"/>
        <v>500.306</v>
      </c>
      <c r="E23" s="65"/>
      <c r="F23" s="65">
        <v>500.306</v>
      </c>
      <c r="G23" s="65"/>
      <c r="H23" s="65"/>
      <c r="I23" s="65"/>
      <c r="J23" s="65"/>
      <c r="K23" s="14">
        <f aca="true" t="shared" si="18" ref="K23:K46">R23/D23</f>
        <v>90.68645988654944</v>
      </c>
      <c r="L23" s="13"/>
      <c r="M23" s="13">
        <v>90.68</v>
      </c>
      <c r="N23" s="13"/>
      <c r="O23" s="13"/>
      <c r="P23" s="13"/>
      <c r="Q23" s="13"/>
      <c r="R23" s="14">
        <f t="shared" si="14"/>
        <v>45370.98</v>
      </c>
      <c r="S23" s="13"/>
      <c r="T23" s="13">
        <v>45370.98</v>
      </c>
      <c r="U23" s="13"/>
      <c r="V23" s="13"/>
      <c r="W23" s="13"/>
      <c r="X23" s="13"/>
      <c r="Y23" s="64">
        <f t="shared" si="15"/>
        <v>500.30646228495806</v>
      </c>
      <c r="Z23" s="65"/>
      <c r="AA23" s="65">
        <f>AO23/AH23</f>
        <v>500.30646228495806</v>
      </c>
      <c r="AB23" s="65"/>
      <c r="AC23" s="65"/>
      <c r="AD23" s="65"/>
      <c r="AE23" s="65"/>
      <c r="AF23" s="15">
        <f>AH23</f>
        <v>90.68</v>
      </c>
      <c r="AG23" s="13"/>
      <c r="AH23" s="13">
        <v>90.68</v>
      </c>
      <c r="AI23" s="13"/>
      <c r="AJ23" s="13"/>
      <c r="AK23" s="13"/>
      <c r="AL23" s="13"/>
      <c r="AM23" s="14">
        <f t="shared" si="16"/>
        <v>45367.79</v>
      </c>
      <c r="AN23" s="13"/>
      <c r="AO23" s="13">
        <v>45367.79</v>
      </c>
      <c r="AP23" s="13"/>
      <c r="AQ23" s="13"/>
      <c r="AR23" s="13"/>
      <c r="AS23" s="13"/>
      <c r="AT23" s="14">
        <f t="shared" si="17"/>
        <v>0</v>
      </c>
      <c r="AU23" s="13"/>
      <c r="AV23" s="37">
        <f>(M23-AH23)*F23</f>
        <v>0</v>
      </c>
      <c r="AW23" s="13"/>
      <c r="AX23" s="13"/>
      <c r="AY23" s="13"/>
      <c r="AZ23" s="13"/>
    </row>
    <row r="24" spans="1:52" s="4" customFormat="1" ht="57" customHeight="1">
      <c r="A24" s="66"/>
      <c r="B24" s="43" t="s">
        <v>41</v>
      </c>
      <c r="C24" s="43"/>
      <c r="D24" s="67">
        <f t="shared" si="13"/>
        <v>8858.645</v>
      </c>
      <c r="E24" s="34"/>
      <c r="F24" s="97">
        <v>8858.645</v>
      </c>
      <c r="G24" s="34"/>
      <c r="H24" s="34"/>
      <c r="I24" s="97"/>
      <c r="J24" s="97"/>
      <c r="K24" s="15">
        <f t="shared" si="18"/>
        <v>103.33999951459845</v>
      </c>
      <c r="L24" s="37"/>
      <c r="M24" s="139">
        <v>103.34</v>
      </c>
      <c r="N24" s="37"/>
      <c r="O24" s="37"/>
      <c r="P24" s="37"/>
      <c r="Q24" s="37"/>
      <c r="R24" s="15">
        <f t="shared" si="14"/>
        <v>915452.37</v>
      </c>
      <c r="S24" s="37"/>
      <c r="T24" s="37">
        <v>915452.37</v>
      </c>
      <c r="U24" s="37"/>
      <c r="V24" s="37"/>
      <c r="W24" s="37"/>
      <c r="X24" s="37"/>
      <c r="Y24" s="67">
        <f t="shared" si="15"/>
        <v>8837.736597638861</v>
      </c>
      <c r="Z24" s="97"/>
      <c r="AA24" s="97">
        <f>AO24/AH24</f>
        <v>8837.736597638861</v>
      </c>
      <c r="AB24" s="97"/>
      <c r="AC24" s="97"/>
      <c r="AD24" s="97"/>
      <c r="AE24" s="97"/>
      <c r="AF24" s="15">
        <f>AH24</f>
        <v>103.34</v>
      </c>
      <c r="AG24" s="37"/>
      <c r="AH24" s="37">
        <v>103.34</v>
      </c>
      <c r="AI24" s="37"/>
      <c r="AJ24" s="37"/>
      <c r="AK24" s="37"/>
      <c r="AL24" s="37"/>
      <c r="AM24" s="15">
        <f t="shared" si="16"/>
        <v>913291.7</v>
      </c>
      <c r="AN24" s="37"/>
      <c r="AO24" s="36">
        <v>913291.7</v>
      </c>
      <c r="AP24" s="37"/>
      <c r="AQ24" s="37"/>
      <c r="AR24" s="37"/>
      <c r="AS24" s="37"/>
      <c r="AT24" s="15">
        <f t="shared" si="17"/>
        <v>0</v>
      </c>
      <c r="AU24" s="37"/>
      <c r="AV24" s="37">
        <f>(M24-AH24)*F24</f>
        <v>0</v>
      </c>
      <c r="AW24" s="37"/>
      <c r="AX24" s="37"/>
      <c r="AY24" s="37"/>
      <c r="AZ24" s="37"/>
    </row>
    <row r="25" spans="1:52" ht="65.25" customHeight="1">
      <c r="A25" s="9"/>
      <c r="B25" s="39" t="s">
        <v>42</v>
      </c>
      <c r="C25" s="40"/>
      <c r="D25" s="64">
        <f t="shared" si="13"/>
        <v>478.587</v>
      </c>
      <c r="E25" s="65"/>
      <c r="F25" s="65"/>
      <c r="G25" s="65"/>
      <c r="H25" s="65"/>
      <c r="I25" s="65">
        <v>478.587</v>
      </c>
      <c r="J25" s="65"/>
      <c r="K25" s="14">
        <f t="shared" si="18"/>
        <v>90.11991550125683</v>
      </c>
      <c r="L25" s="13"/>
      <c r="M25" s="13"/>
      <c r="N25" s="13"/>
      <c r="O25" s="13"/>
      <c r="P25" s="13">
        <v>90.12</v>
      </c>
      <c r="Q25" s="13"/>
      <c r="R25" s="14">
        <f t="shared" si="14"/>
        <v>43130.22</v>
      </c>
      <c r="S25" s="13"/>
      <c r="T25" s="13"/>
      <c r="U25" s="13"/>
      <c r="V25" s="13"/>
      <c r="W25" s="13">
        <v>43130.22</v>
      </c>
      <c r="X25" s="13"/>
      <c r="Y25" s="64">
        <f t="shared" si="15"/>
        <v>478.58655126498</v>
      </c>
      <c r="Z25" s="65"/>
      <c r="AA25" s="65"/>
      <c r="AB25" s="65"/>
      <c r="AC25" s="65"/>
      <c r="AD25" s="65">
        <f>AR25/AK25</f>
        <v>478.58655126498</v>
      </c>
      <c r="AE25" s="65"/>
      <c r="AF25" s="14">
        <f>AK25</f>
        <v>90.12</v>
      </c>
      <c r="AG25" s="13"/>
      <c r="AH25" s="13"/>
      <c r="AI25" s="13"/>
      <c r="AJ25" s="13"/>
      <c r="AK25" s="37">
        <v>90.12</v>
      </c>
      <c r="AL25" s="13"/>
      <c r="AM25" s="14">
        <f t="shared" si="16"/>
        <v>43130.22</v>
      </c>
      <c r="AN25" s="13"/>
      <c r="AO25" s="13"/>
      <c r="AP25" s="13"/>
      <c r="AQ25" s="13"/>
      <c r="AR25" s="13">
        <v>43130.22</v>
      </c>
      <c r="AS25" s="13"/>
      <c r="AT25" s="14">
        <f t="shared" si="17"/>
        <v>0</v>
      </c>
      <c r="AU25" s="37"/>
      <c r="AV25" s="37"/>
      <c r="AW25" s="37"/>
      <c r="AX25" s="37"/>
      <c r="AY25" s="37">
        <f>(P25-AK25)*I25</f>
        <v>0</v>
      </c>
      <c r="AZ25" s="13"/>
    </row>
    <row r="26" spans="1:52" ht="58.5" customHeight="1" thickBot="1">
      <c r="A26" s="38">
        <v>36</v>
      </c>
      <c r="B26" s="39" t="s">
        <v>37</v>
      </c>
      <c r="C26" s="106"/>
      <c r="D26" s="62">
        <f>SUM(E26:J26)</f>
        <v>139.6</v>
      </c>
      <c r="E26" s="42"/>
      <c r="F26" s="42"/>
      <c r="G26" s="76"/>
      <c r="H26" s="42"/>
      <c r="I26" s="107"/>
      <c r="J26" s="69">
        <v>139.6</v>
      </c>
      <c r="K26" s="35">
        <f t="shared" si="18"/>
        <v>92.65451289398281</v>
      </c>
      <c r="L26" s="108"/>
      <c r="M26" s="13"/>
      <c r="N26" s="13"/>
      <c r="O26" s="13"/>
      <c r="P26" s="13"/>
      <c r="Q26" s="130">
        <v>92.65</v>
      </c>
      <c r="R26" s="57">
        <f>SUM(S26:X26)</f>
        <v>12934.57</v>
      </c>
      <c r="S26" s="13"/>
      <c r="T26" s="13"/>
      <c r="U26" s="13"/>
      <c r="V26" s="13"/>
      <c r="W26" s="13"/>
      <c r="X26" s="13">
        <v>12934.57</v>
      </c>
      <c r="Y26" s="64">
        <f>AE26</f>
        <v>139.59982732570688</v>
      </c>
      <c r="Z26" s="65"/>
      <c r="AA26" s="65"/>
      <c r="AB26" s="65"/>
      <c r="AC26" s="65"/>
      <c r="AD26" s="65"/>
      <c r="AE26" s="65">
        <f>AS26/AL26</f>
        <v>139.59982732570688</v>
      </c>
      <c r="AF26" s="14">
        <f>AL26</f>
        <v>92.66</v>
      </c>
      <c r="AG26" s="13"/>
      <c r="AH26" s="13"/>
      <c r="AI26" s="13"/>
      <c r="AJ26" s="13"/>
      <c r="AK26" s="109"/>
      <c r="AL26" s="109">
        <v>92.66</v>
      </c>
      <c r="AM26" s="14">
        <f>AS26</f>
        <v>12935.32</v>
      </c>
      <c r="AN26" s="13"/>
      <c r="AO26" s="13"/>
      <c r="AP26" s="13"/>
      <c r="AQ26" s="13"/>
      <c r="AR26" s="13"/>
      <c r="AS26" s="13">
        <v>12935.32</v>
      </c>
      <c r="AT26" s="57">
        <f>SUM(AU26:AZ26)</f>
        <v>-1.3959999999987303</v>
      </c>
      <c r="AU26" s="36"/>
      <c r="AV26" s="36"/>
      <c r="AW26" s="36"/>
      <c r="AX26" s="36"/>
      <c r="AY26" s="36"/>
      <c r="AZ26" s="37">
        <f>(Q26-AL26)*J26</f>
        <v>-1.3959999999987303</v>
      </c>
    </row>
    <row r="27" spans="1:65" s="29" customFormat="1" ht="43.5" customHeight="1" thickBot="1">
      <c r="A27" s="23">
        <v>3</v>
      </c>
      <c r="B27" s="24" t="s">
        <v>1</v>
      </c>
      <c r="C27" s="24" t="s">
        <v>5</v>
      </c>
      <c r="D27" s="71">
        <f aca="true" t="shared" si="19" ref="D27:J27">SUM(D28:D36)</f>
        <v>71401.87000000001</v>
      </c>
      <c r="E27" s="71">
        <f t="shared" si="19"/>
        <v>8721.2</v>
      </c>
      <c r="F27" s="71">
        <f t="shared" si="19"/>
        <v>29060.6</v>
      </c>
      <c r="G27" s="71">
        <f t="shared" si="19"/>
        <v>14277.35</v>
      </c>
      <c r="H27" s="71">
        <f t="shared" si="19"/>
        <v>10072.99</v>
      </c>
      <c r="I27" s="71">
        <f t="shared" si="19"/>
        <v>8373.630000000001</v>
      </c>
      <c r="J27" s="71">
        <f t="shared" si="19"/>
        <v>896.1</v>
      </c>
      <c r="K27" s="28">
        <f t="shared" si="18"/>
        <v>21.003981828487127</v>
      </c>
      <c r="L27" s="28">
        <f>S27/E27</f>
        <v>20.67591959822043</v>
      </c>
      <c r="M27" s="28">
        <f>T27/F27</f>
        <v>21.543983950778717</v>
      </c>
      <c r="N27" s="28">
        <f>U27/G27</f>
        <v>21.057377594581627</v>
      </c>
      <c r="O27" s="28">
        <f>O32</f>
        <v>20.91</v>
      </c>
      <c r="P27" s="28">
        <f>W27/I27</f>
        <v>19.655718009990885</v>
      </c>
      <c r="Q27" s="28">
        <f>Q33</f>
        <v>19.49</v>
      </c>
      <c r="R27" s="28">
        <f aca="true" t="shared" si="20" ref="R27:AE27">SUM(R28:R36)</f>
        <v>1499723.5800000003</v>
      </c>
      <c r="S27" s="28">
        <f t="shared" si="20"/>
        <v>180318.83000000002</v>
      </c>
      <c r="T27" s="28">
        <f t="shared" si="20"/>
        <v>626081.1</v>
      </c>
      <c r="U27" s="28">
        <f t="shared" si="20"/>
        <v>300643.55</v>
      </c>
      <c r="V27" s="28">
        <f t="shared" si="20"/>
        <v>210622.18</v>
      </c>
      <c r="W27" s="28">
        <f t="shared" si="20"/>
        <v>164589.71</v>
      </c>
      <c r="X27" s="28">
        <f t="shared" si="20"/>
        <v>17468.21</v>
      </c>
      <c r="Y27" s="60">
        <f t="shared" si="20"/>
        <v>71198.95801249292</v>
      </c>
      <c r="Z27" s="60">
        <f t="shared" si="20"/>
        <v>8631.682145949315</v>
      </c>
      <c r="AA27" s="60">
        <f t="shared" si="20"/>
        <v>29071.743350796176</v>
      </c>
      <c r="AB27" s="60">
        <f t="shared" si="20"/>
        <v>14300.709547982598</v>
      </c>
      <c r="AC27" s="60">
        <f t="shared" si="20"/>
        <v>10084.745098039217</v>
      </c>
      <c r="AD27" s="60">
        <f t="shared" si="20"/>
        <v>8213.9721744973</v>
      </c>
      <c r="AE27" s="60">
        <f t="shared" si="20"/>
        <v>896.1056952283222</v>
      </c>
      <c r="AF27" s="28">
        <f>AM27/Y27</f>
        <v>21.84699093106204</v>
      </c>
      <c r="AG27" s="101">
        <f>AN27/Z27</f>
        <v>20.672401622635906</v>
      </c>
      <c r="AH27" s="101">
        <f>AO27/AA27</f>
        <v>23.60466868875294</v>
      </c>
      <c r="AI27" s="101">
        <f>AP27/AB27</f>
        <v>21.049887698926526</v>
      </c>
      <c r="AJ27" s="101">
        <f>AJ32</f>
        <v>20.91</v>
      </c>
      <c r="AK27" s="27">
        <f>AR27/AD27</f>
        <v>19.655663127429683</v>
      </c>
      <c r="AL27" s="101">
        <f>AL33</f>
        <v>19.49</v>
      </c>
      <c r="AM27" s="101">
        <f aca="true" t="shared" si="21" ref="AM27:AZ27">SUM(AM28:AM36)</f>
        <v>1555482.99</v>
      </c>
      <c r="AN27" s="119">
        <f t="shared" si="21"/>
        <v>178437.6</v>
      </c>
      <c r="AO27" s="119">
        <f t="shared" si="21"/>
        <v>686228.87</v>
      </c>
      <c r="AP27" s="119">
        <f t="shared" si="21"/>
        <v>301028.33</v>
      </c>
      <c r="AQ27" s="119">
        <f t="shared" si="21"/>
        <v>210872.02000000002</v>
      </c>
      <c r="AR27" s="119">
        <f t="shared" si="21"/>
        <v>161451.06999999998</v>
      </c>
      <c r="AS27" s="119">
        <f t="shared" si="21"/>
        <v>17465.1</v>
      </c>
      <c r="AT27" s="118">
        <f t="shared" si="21"/>
        <v>0</v>
      </c>
      <c r="AU27" s="28">
        <f t="shared" si="21"/>
        <v>0</v>
      </c>
      <c r="AV27" s="28">
        <f t="shared" si="21"/>
        <v>0</v>
      </c>
      <c r="AW27" s="28">
        <f t="shared" si="21"/>
        <v>0</v>
      </c>
      <c r="AX27" s="28">
        <f t="shared" si="21"/>
        <v>0</v>
      </c>
      <c r="AY27" s="28">
        <f t="shared" si="21"/>
        <v>0</v>
      </c>
      <c r="AZ27" s="28">
        <f t="shared" si="21"/>
        <v>0</v>
      </c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</row>
    <row r="28" spans="1:52" ht="51" customHeight="1">
      <c r="A28" s="74"/>
      <c r="B28" s="47" t="s">
        <v>20</v>
      </c>
      <c r="C28" s="32"/>
      <c r="D28" s="75">
        <f aca="true" t="shared" si="22" ref="D28:D36">SUM(E28:J28)</f>
        <v>138.2</v>
      </c>
      <c r="E28" s="76">
        <v>138.2</v>
      </c>
      <c r="F28" s="76"/>
      <c r="G28" s="76"/>
      <c r="H28" s="76"/>
      <c r="I28" s="76"/>
      <c r="J28" s="76"/>
      <c r="K28" s="14">
        <f t="shared" si="18"/>
        <v>20.819971056439947</v>
      </c>
      <c r="L28" s="37">
        <v>20.82</v>
      </c>
      <c r="M28" s="36"/>
      <c r="N28" s="36"/>
      <c r="O28" s="37"/>
      <c r="P28" s="37"/>
      <c r="Q28" s="37"/>
      <c r="R28" s="14">
        <f aca="true" t="shared" si="23" ref="R28:R36">SUM(S28:X28)</f>
        <v>2877.32</v>
      </c>
      <c r="S28" s="36">
        <v>2877.32</v>
      </c>
      <c r="T28" s="36"/>
      <c r="U28" s="36"/>
      <c r="V28" s="13"/>
      <c r="W28" s="13"/>
      <c r="X28" s="13"/>
      <c r="Y28" s="64">
        <f>SUM(Z28:AD28)</f>
        <v>138.20028818443802</v>
      </c>
      <c r="Z28" s="65">
        <f>AN28/AG28</f>
        <v>138.20028818443802</v>
      </c>
      <c r="AA28" s="65"/>
      <c r="AB28" s="65"/>
      <c r="AC28" s="65"/>
      <c r="AD28" s="65"/>
      <c r="AE28" s="65"/>
      <c r="AF28" s="14">
        <f>AG28</f>
        <v>20.82</v>
      </c>
      <c r="AG28" s="13">
        <v>20.82</v>
      </c>
      <c r="AH28" s="13"/>
      <c r="AI28" s="13"/>
      <c r="AJ28" s="13"/>
      <c r="AK28" s="13"/>
      <c r="AL28" s="13"/>
      <c r="AM28" s="14">
        <f>SUM(AN28:AR28)</f>
        <v>2877.33</v>
      </c>
      <c r="AN28" s="36">
        <v>2877.33</v>
      </c>
      <c r="AO28" s="36"/>
      <c r="AP28" s="36"/>
      <c r="AQ28" s="13"/>
      <c r="AR28" s="13"/>
      <c r="AS28" s="13"/>
      <c r="AT28" s="14">
        <f>SUM(AU28:AY28)</f>
        <v>0</v>
      </c>
      <c r="AU28" s="37">
        <f>(L28-AG28)*E28</f>
        <v>0</v>
      </c>
      <c r="AV28" s="37"/>
      <c r="AW28" s="37"/>
      <c r="AX28" s="37"/>
      <c r="AY28" s="37"/>
      <c r="AZ28" s="13"/>
    </row>
    <row r="29" spans="1:52" ht="54" customHeight="1">
      <c r="A29" s="74"/>
      <c r="B29" s="47" t="s">
        <v>21</v>
      </c>
      <c r="C29" s="48"/>
      <c r="D29" s="75">
        <f t="shared" si="22"/>
        <v>442</v>
      </c>
      <c r="E29" s="76"/>
      <c r="F29" s="76"/>
      <c r="G29" s="76">
        <v>442</v>
      </c>
      <c r="H29" s="76"/>
      <c r="I29" s="76"/>
      <c r="J29" s="76"/>
      <c r="K29" s="14">
        <f t="shared" si="18"/>
        <v>23.5</v>
      </c>
      <c r="L29" s="37"/>
      <c r="M29" s="13"/>
      <c r="N29" s="50">
        <v>23.5</v>
      </c>
      <c r="O29" s="37"/>
      <c r="P29" s="37"/>
      <c r="Q29" s="37"/>
      <c r="R29" s="14">
        <f t="shared" si="23"/>
        <v>10387</v>
      </c>
      <c r="S29" s="50"/>
      <c r="T29" s="50"/>
      <c r="U29" s="50">
        <v>10387</v>
      </c>
      <c r="V29" s="36"/>
      <c r="W29" s="36"/>
      <c r="X29" s="13"/>
      <c r="Y29" s="67">
        <f>SUM(Z29:AD29)</f>
        <v>441.9991489361702</v>
      </c>
      <c r="Z29" s="97"/>
      <c r="AA29" s="97"/>
      <c r="AB29" s="97">
        <f>AP29/AI29</f>
        <v>441.9991489361702</v>
      </c>
      <c r="AC29" s="97"/>
      <c r="AD29" s="97"/>
      <c r="AE29" s="97"/>
      <c r="AF29" s="14">
        <f>AI29</f>
        <v>23.5</v>
      </c>
      <c r="AG29" s="13"/>
      <c r="AH29" s="13"/>
      <c r="AI29" s="13">
        <v>23.5</v>
      </c>
      <c r="AJ29" s="13"/>
      <c r="AK29" s="13"/>
      <c r="AL29" s="37"/>
      <c r="AM29" s="15">
        <f>SUM(AN29:AR29)</f>
        <v>10386.98</v>
      </c>
      <c r="AN29" s="50"/>
      <c r="AO29" s="50"/>
      <c r="AP29" s="50">
        <v>10386.98</v>
      </c>
      <c r="AQ29" s="36"/>
      <c r="AR29" s="36"/>
      <c r="AS29" s="13"/>
      <c r="AT29" s="14">
        <f>SUM(AU29:AY29)</f>
        <v>0</v>
      </c>
      <c r="AU29" s="37"/>
      <c r="AV29" s="37"/>
      <c r="AW29" s="37">
        <f>(N29-AI29)*G29</f>
        <v>0</v>
      </c>
      <c r="AX29" s="37"/>
      <c r="AY29" s="37"/>
      <c r="AZ29" s="13"/>
    </row>
    <row r="30" spans="1:52" ht="59.25" customHeight="1">
      <c r="A30" s="38"/>
      <c r="B30" s="54" t="s">
        <v>39</v>
      </c>
      <c r="C30" s="40"/>
      <c r="D30" s="75">
        <f t="shared" si="22"/>
        <v>7763.223</v>
      </c>
      <c r="E30" s="76"/>
      <c r="F30" s="65">
        <v>7763.223</v>
      </c>
      <c r="G30" s="76"/>
      <c r="H30" s="76"/>
      <c r="I30" s="76"/>
      <c r="J30" s="76"/>
      <c r="K30" s="14">
        <f t="shared" si="18"/>
        <v>15.68000043280993</v>
      </c>
      <c r="L30" s="13"/>
      <c r="M30" s="37">
        <v>23.4</v>
      </c>
      <c r="N30" s="13"/>
      <c r="O30" s="37"/>
      <c r="P30" s="37"/>
      <c r="Q30" s="37"/>
      <c r="R30" s="14">
        <f t="shared" si="23"/>
        <v>121727.34</v>
      </c>
      <c r="S30" s="13"/>
      <c r="T30" s="13">
        <v>121727.34</v>
      </c>
      <c r="U30" s="13"/>
      <c r="V30" s="13"/>
      <c r="W30" s="13"/>
      <c r="X30" s="37"/>
      <c r="Y30" s="67">
        <f>SUM(Z30:AD30)</f>
        <v>7763.223076923078</v>
      </c>
      <c r="Z30" s="97"/>
      <c r="AA30" s="97">
        <f>AO30/AH30</f>
        <v>7763.223076923078</v>
      </c>
      <c r="AB30" s="97"/>
      <c r="AC30" s="97"/>
      <c r="AD30" s="97"/>
      <c r="AE30" s="97"/>
      <c r="AF30" s="14">
        <f>AH30</f>
        <v>23.4</v>
      </c>
      <c r="AG30" s="37"/>
      <c r="AH30" s="37">
        <v>23.4</v>
      </c>
      <c r="AI30" s="37"/>
      <c r="AJ30" s="37"/>
      <c r="AK30" s="37"/>
      <c r="AL30" s="37"/>
      <c r="AM30" s="15">
        <f>SUM(AN30:AR30)</f>
        <v>181659.42</v>
      </c>
      <c r="AN30" s="13"/>
      <c r="AO30" s="13">
        <v>181659.42</v>
      </c>
      <c r="AP30" s="13"/>
      <c r="AQ30" s="13"/>
      <c r="AR30" s="13"/>
      <c r="AS30" s="37"/>
      <c r="AT30" s="15">
        <f>SUM(AU30:AY30)</f>
        <v>0</v>
      </c>
      <c r="AU30" s="37"/>
      <c r="AV30" s="37">
        <f>(M30-AH30)*F30</f>
        <v>0</v>
      </c>
      <c r="AW30" s="37"/>
      <c r="AX30" s="37"/>
      <c r="AY30" s="37"/>
      <c r="AZ30" s="13"/>
    </row>
    <row r="31" spans="1:52" ht="35.25" customHeight="1">
      <c r="A31" s="38"/>
      <c r="B31" s="39" t="s">
        <v>22</v>
      </c>
      <c r="C31" s="40"/>
      <c r="D31" s="75">
        <f t="shared" si="22"/>
        <v>119.9</v>
      </c>
      <c r="E31" s="76"/>
      <c r="F31" s="76"/>
      <c r="G31" s="77">
        <v>119.9</v>
      </c>
      <c r="H31" s="76"/>
      <c r="I31" s="76"/>
      <c r="J31" s="76"/>
      <c r="K31" s="14">
        <f t="shared" si="18"/>
        <v>28.95721434528774</v>
      </c>
      <c r="L31" s="13"/>
      <c r="M31" s="122"/>
      <c r="N31" s="13">
        <v>28.96</v>
      </c>
      <c r="O31" s="13"/>
      <c r="P31" s="13"/>
      <c r="Q31" s="13"/>
      <c r="R31" s="14">
        <f t="shared" si="23"/>
        <v>3471.97</v>
      </c>
      <c r="S31" s="13"/>
      <c r="T31" s="13"/>
      <c r="U31" s="13">
        <v>3471.97</v>
      </c>
      <c r="V31" s="13"/>
      <c r="W31" s="13"/>
      <c r="X31" s="13"/>
      <c r="Y31" s="64">
        <f>SUM(Z31:AD31)</f>
        <v>106.30006906077347</v>
      </c>
      <c r="Z31" s="65"/>
      <c r="AA31" s="65"/>
      <c r="AB31" s="65">
        <f>AP31/AI31</f>
        <v>106.30006906077347</v>
      </c>
      <c r="AC31" s="65"/>
      <c r="AD31" s="65"/>
      <c r="AE31" s="65"/>
      <c r="AF31" s="14">
        <f>AI31</f>
        <v>28.96</v>
      </c>
      <c r="AG31" s="13"/>
      <c r="AH31" s="13"/>
      <c r="AI31" s="13">
        <v>28.96</v>
      </c>
      <c r="AJ31" s="13"/>
      <c r="AK31" s="13"/>
      <c r="AL31" s="13"/>
      <c r="AM31" s="14">
        <f>SUM(AN31:AR31)</f>
        <v>3078.45</v>
      </c>
      <c r="AN31" s="13"/>
      <c r="AO31" s="13"/>
      <c r="AP31" s="13">
        <v>3078.45</v>
      </c>
      <c r="AQ31" s="13"/>
      <c r="AR31" s="13"/>
      <c r="AS31" s="13"/>
      <c r="AT31" s="15">
        <f>SUM(AU31:AY31)</f>
        <v>0</v>
      </c>
      <c r="AU31" s="37"/>
      <c r="AV31" s="37"/>
      <c r="AW31" s="37">
        <f>(N31-AI31)*G31</f>
        <v>0</v>
      </c>
      <c r="AX31" s="37"/>
      <c r="AY31" s="37"/>
      <c r="AZ31" s="13"/>
    </row>
    <row r="32" spans="1:52" ht="42" customHeight="1">
      <c r="A32" s="9"/>
      <c r="B32" s="43" t="s">
        <v>25</v>
      </c>
      <c r="C32" s="32"/>
      <c r="D32" s="75">
        <f t="shared" si="22"/>
        <v>41488.14</v>
      </c>
      <c r="E32" s="34">
        <v>3822</v>
      </c>
      <c r="F32" s="34">
        <v>6405.23</v>
      </c>
      <c r="G32" s="34">
        <v>13715.45</v>
      </c>
      <c r="H32" s="34">
        <v>10072.99</v>
      </c>
      <c r="I32" s="34">
        <v>7472.47</v>
      </c>
      <c r="J32" s="96"/>
      <c r="K32" s="120">
        <f t="shared" si="18"/>
        <v>20.63292256534036</v>
      </c>
      <c r="L32" s="36">
        <v>20.67</v>
      </c>
      <c r="M32" s="36">
        <v>20.91</v>
      </c>
      <c r="N32" s="36">
        <v>20.91</v>
      </c>
      <c r="O32" s="36">
        <v>20.91</v>
      </c>
      <c r="P32" s="36">
        <v>19.49</v>
      </c>
      <c r="Q32" s="36"/>
      <c r="R32" s="14">
        <f t="shared" si="23"/>
        <v>856021.58</v>
      </c>
      <c r="S32" s="36">
        <v>79014.5</v>
      </c>
      <c r="T32" s="36">
        <v>133934.98</v>
      </c>
      <c r="U32" s="36">
        <v>286784.58</v>
      </c>
      <c r="V32" s="36">
        <v>210622.18</v>
      </c>
      <c r="W32" s="36">
        <v>145665.34</v>
      </c>
      <c r="X32" s="36"/>
      <c r="Y32" s="67">
        <f>SUM(Z32:AD32)</f>
        <v>41393.0829423349</v>
      </c>
      <c r="Z32" s="97">
        <f>AN32/AG32</f>
        <v>3837.4238026124817</v>
      </c>
      <c r="AA32" s="97">
        <f>AO32/AH32</f>
        <v>6405.6920133907215</v>
      </c>
      <c r="AB32" s="97">
        <f>AP32/AI32</f>
        <v>13752.410329985654</v>
      </c>
      <c r="AC32" s="97">
        <f>AQ32/AJ32</f>
        <v>10084.745098039217</v>
      </c>
      <c r="AD32" s="97">
        <f>AR32/AK32</f>
        <v>7312.811698306824</v>
      </c>
      <c r="AE32" s="97"/>
      <c r="AF32" s="121">
        <f>AM32/Y32</f>
        <v>20.63688252431035</v>
      </c>
      <c r="AG32" s="37">
        <v>20.67</v>
      </c>
      <c r="AH32" s="37">
        <v>20.91</v>
      </c>
      <c r="AI32" s="37">
        <f>AH32</f>
        <v>20.91</v>
      </c>
      <c r="AJ32" s="37">
        <f>AH32</f>
        <v>20.91</v>
      </c>
      <c r="AK32" s="37">
        <v>19.49</v>
      </c>
      <c r="AL32" s="37"/>
      <c r="AM32" s="15">
        <f>SUM(AN32:AS32)</f>
        <v>854224.19</v>
      </c>
      <c r="AN32" s="36">
        <f>79309.2+10.35</f>
        <v>79319.55</v>
      </c>
      <c r="AO32" s="36">
        <f>73003.16+38010.95+22928.91</f>
        <v>133943.02</v>
      </c>
      <c r="AP32" s="36">
        <f>110748.74+176814.16</f>
        <v>287562.9</v>
      </c>
      <c r="AQ32" s="36">
        <f>146898.1+46535.8+17523.21-90.56+5.47</f>
        <v>210872.02000000002</v>
      </c>
      <c r="AR32" s="36">
        <f>142083.68+443.02</f>
        <v>142526.69999999998</v>
      </c>
      <c r="AS32" s="37"/>
      <c r="AT32" s="15">
        <f>SUM(AU32:AY32)</f>
        <v>0</v>
      </c>
      <c r="AU32" s="37">
        <f>(L32-AG32)*E32</f>
        <v>0</v>
      </c>
      <c r="AV32" s="37">
        <f>(M32-AH32)*F32</f>
        <v>0</v>
      </c>
      <c r="AW32" s="37">
        <f>(N32-AI32)*G32</f>
        <v>0</v>
      </c>
      <c r="AX32" s="37">
        <f>(O32-AJ32)*H32</f>
        <v>0</v>
      </c>
      <c r="AY32" s="37">
        <f>(P32-AK32)*I32</f>
        <v>0</v>
      </c>
      <c r="AZ32" s="37"/>
    </row>
    <row r="33" spans="1:52" ht="84" customHeight="1">
      <c r="A33" s="74"/>
      <c r="B33" s="31" t="s">
        <v>27</v>
      </c>
      <c r="C33" s="40"/>
      <c r="D33" s="75">
        <f t="shared" si="22"/>
        <v>19984.05</v>
      </c>
      <c r="E33" s="65">
        <v>4761</v>
      </c>
      <c r="F33" s="65">
        <v>14326.95</v>
      </c>
      <c r="G33" s="76"/>
      <c r="H33" s="76"/>
      <c r="I33" s="76"/>
      <c r="J33" s="65">
        <v>896.1</v>
      </c>
      <c r="K33" s="14">
        <f t="shared" si="18"/>
        <v>23.725377988946185</v>
      </c>
      <c r="L33" s="13">
        <v>20.67</v>
      </c>
      <c r="M33" s="13">
        <v>25</v>
      </c>
      <c r="N33" s="13"/>
      <c r="O33" s="13"/>
      <c r="P33" s="13"/>
      <c r="Q33" s="13">
        <v>19.49</v>
      </c>
      <c r="R33" s="14">
        <f t="shared" si="23"/>
        <v>474129.14</v>
      </c>
      <c r="S33" s="13">
        <v>98427.01</v>
      </c>
      <c r="T33" s="13">
        <v>358233.92</v>
      </c>
      <c r="U33" s="13"/>
      <c r="V33" s="13"/>
      <c r="W33" s="13"/>
      <c r="X33" s="13">
        <v>17468.21</v>
      </c>
      <c r="Y33" s="64">
        <f>SUM(Z33:AE33)</f>
        <v>19889.79535038072</v>
      </c>
      <c r="Z33" s="65">
        <f>AN33/AG33</f>
        <v>4656.058055152394</v>
      </c>
      <c r="AA33" s="65">
        <f>AO33/AH33</f>
        <v>14337.6316</v>
      </c>
      <c r="AB33" s="65"/>
      <c r="AC33" s="65"/>
      <c r="AD33" s="65"/>
      <c r="AE33" s="65">
        <f>AS33/AL33</f>
        <v>896.1056952283222</v>
      </c>
      <c r="AF33" s="14">
        <f>AM33/Y33</f>
        <v>23.73813313222262</v>
      </c>
      <c r="AG33" s="13">
        <v>20.67</v>
      </c>
      <c r="AH33" s="13">
        <v>25</v>
      </c>
      <c r="AI33" s="13"/>
      <c r="AJ33" s="13"/>
      <c r="AK33" s="13"/>
      <c r="AL33" s="37">
        <v>19.49</v>
      </c>
      <c r="AM33" s="15">
        <f>SUM(AN33:AS33)</f>
        <v>472146.61</v>
      </c>
      <c r="AN33" s="13">
        <f>96114.74+125.98</f>
        <v>96240.72</v>
      </c>
      <c r="AO33" s="13">
        <f>281608.04+77223.76+944.59-1335.6</f>
        <v>358440.79000000004</v>
      </c>
      <c r="AP33" s="13"/>
      <c r="AQ33" s="13"/>
      <c r="AR33" s="13"/>
      <c r="AS33" s="37">
        <v>17465.1</v>
      </c>
      <c r="AT33" s="14">
        <f>SUM(AU33:AZ33)</f>
        <v>0</v>
      </c>
      <c r="AU33" s="37">
        <f>(L33-AG33)*E33</f>
        <v>0</v>
      </c>
      <c r="AV33" s="37">
        <f>(M33-AH33)*F33</f>
        <v>0</v>
      </c>
      <c r="AW33" s="37"/>
      <c r="AX33" s="37"/>
      <c r="AY33" s="37"/>
      <c r="AZ33" s="37">
        <f>(Q33-AL33)*J33</f>
        <v>0</v>
      </c>
    </row>
    <row r="34" spans="1:52" ht="39.75" customHeight="1">
      <c r="A34" s="38"/>
      <c r="B34" s="39" t="s">
        <v>23</v>
      </c>
      <c r="C34" s="40"/>
      <c r="D34" s="75">
        <f t="shared" si="22"/>
        <v>565.197</v>
      </c>
      <c r="E34" s="76"/>
      <c r="F34" s="65">
        <v>565.197</v>
      </c>
      <c r="G34" s="76"/>
      <c r="H34" s="76"/>
      <c r="I34" s="76"/>
      <c r="J34" s="76"/>
      <c r="K34" s="14">
        <f t="shared" si="18"/>
        <v>21.55860699897558</v>
      </c>
      <c r="L34" s="13"/>
      <c r="M34" s="13">
        <v>21.56</v>
      </c>
      <c r="N34" s="13"/>
      <c r="O34" s="37"/>
      <c r="P34" s="37"/>
      <c r="Q34" s="37"/>
      <c r="R34" s="14">
        <f t="shared" si="23"/>
        <v>12184.86</v>
      </c>
      <c r="S34" s="13"/>
      <c r="T34" s="13">
        <v>12184.86</v>
      </c>
      <c r="U34" s="13"/>
      <c r="V34" s="13"/>
      <c r="W34" s="13"/>
      <c r="X34" s="13"/>
      <c r="Y34" s="67">
        <f>SUM(Z34:AD34)</f>
        <v>565.1966604823748</v>
      </c>
      <c r="Z34" s="97"/>
      <c r="AA34" s="97">
        <f>AO34/AH34</f>
        <v>565.1966604823748</v>
      </c>
      <c r="AB34" s="97"/>
      <c r="AC34" s="97"/>
      <c r="AD34" s="97"/>
      <c r="AE34" s="97"/>
      <c r="AF34" s="14">
        <f>AH34</f>
        <v>21.56</v>
      </c>
      <c r="AG34" s="37"/>
      <c r="AH34" s="37">
        <v>21.56</v>
      </c>
      <c r="AI34" s="37"/>
      <c r="AJ34" s="37"/>
      <c r="AK34" s="37"/>
      <c r="AL34" s="37"/>
      <c r="AM34" s="15">
        <f>SUM(AN34:AR34)</f>
        <v>12185.64</v>
      </c>
      <c r="AN34" s="13"/>
      <c r="AO34" s="13">
        <v>12185.64</v>
      </c>
      <c r="AP34" s="13"/>
      <c r="AQ34" s="13"/>
      <c r="AR34" s="13"/>
      <c r="AS34" s="37"/>
      <c r="AT34" s="14">
        <f>SUM(AU34:AZ34)</f>
        <v>0</v>
      </c>
      <c r="AU34" s="37"/>
      <c r="AV34" s="37">
        <f>(M34-AH34)*F34</f>
        <v>0</v>
      </c>
      <c r="AW34" s="37"/>
      <c r="AX34" s="37"/>
      <c r="AY34" s="37"/>
      <c r="AZ34" s="13"/>
    </row>
    <row r="35" spans="1:52" ht="39.75" customHeight="1">
      <c r="A35" s="38"/>
      <c r="B35" s="39" t="s">
        <v>44</v>
      </c>
      <c r="C35" s="40"/>
      <c r="D35" s="75">
        <f t="shared" si="22"/>
        <v>0</v>
      </c>
      <c r="E35" s="76"/>
      <c r="F35" s="76"/>
      <c r="G35" s="76"/>
      <c r="H35" s="76"/>
      <c r="I35" s="76"/>
      <c r="J35" s="76"/>
      <c r="K35" s="14" t="e">
        <f t="shared" si="18"/>
        <v>#DIV/0!</v>
      </c>
      <c r="L35" s="13"/>
      <c r="M35" s="37"/>
      <c r="N35" s="13"/>
      <c r="O35" s="37"/>
      <c r="P35" s="37"/>
      <c r="Q35" s="37"/>
      <c r="R35" s="14">
        <f t="shared" si="23"/>
        <v>0</v>
      </c>
      <c r="S35" s="13"/>
      <c r="T35" s="13"/>
      <c r="U35" s="13"/>
      <c r="V35" s="13"/>
      <c r="W35" s="13"/>
      <c r="X35" s="37"/>
      <c r="Y35" s="67">
        <f>SUM(Z35:AD35)</f>
        <v>0</v>
      </c>
      <c r="Z35" s="97"/>
      <c r="AA35" s="97"/>
      <c r="AB35" s="97"/>
      <c r="AC35" s="97"/>
      <c r="AD35" s="97"/>
      <c r="AE35" s="97"/>
      <c r="AF35" s="14">
        <f>AJ35</f>
        <v>0</v>
      </c>
      <c r="AG35" s="37"/>
      <c r="AH35" s="37"/>
      <c r="AI35" s="37"/>
      <c r="AJ35" s="139"/>
      <c r="AK35" s="37"/>
      <c r="AL35" s="37"/>
      <c r="AM35" s="15">
        <f>SUM(AN35:AR35)</f>
        <v>0</v>
      </c>
      <c r="AN35" s="13"/>
      <c r="AO35" s="13"/>
      <c r="AP35" s="13"/>
      <c r="AQ35" s="13"/>
      <c r="AR35" s="13"/>
      <c r="AS35" s="37"/>
      <c r="AT35" s="14">
        <f>SUM(AU35:AZ35)</f>
        <v>0</v>
      </c>
      <c r="AU35" s="37"/>
      <c r="AV35" s="37"/>
      <c r="AW35" s="37"/>
      <c r="AX35" s="37"/>
      <c r="AY35" s="37"/>
      <c r="AZ35" s="13"/>
    </row>
    <row r="36" spans="1:52" ht="43.5" customHeight="1" thickBot="1">
      <c r="A36" s="78"/>
      <c r="B36" s="79" t="s">
        <v>26</v>
      </c>
      <c r="C36" s="80"/>
      <c r="D36" s="75">
        <f t="shared" si="22"/>
        <v>901.16</v>
      </c>
      <c r="E36" s="81"/>
      <c r="F36" s="81"/>
      <c r="G36" s="81"/>
      <c r="H36" s="81"/>
      <c r="I36" s="34">
        <v>901.16</v>
      </c>
      <c r="J36" s="96"/>
      <c r="K36" s="82">
        <f t="shared" si="18"/>
        <v>21.000011096808556</v>
      </c>
      <c r="L36" s="83"/>
      <c r="M36" s="83"/>
      <c r="N36" s="83"/>
      <c r="O36" s="83"/>
      <c r="P36" s="84">
        <v>21</v>
      </c>
      <c r="Q36" s="84"/>
      <c r="R36" s="14">
        <f t="shared" si="23"/>
        <v>18924.37</v>
      </c>
      <c r="S36" s="83"/>
      <c r="T36" s="83"/>
      <c r="U36" s="83"/>
      <c r="V36" s="83"/>
      <c r="W36" s="83">
        <v>18924.37</v>
      </c>
      <c r="X36" s="84"/>
      <c r="Y36" s="87">
        <f>SUM(Z36:AD36)</f>
        <v>901.1604761904762</v>
      </c>
      <c r="Z36" s="99"/>
      <c r="AA36" s="99"/>
      <c r="AB36" s="99"/>
      <c r="AC36" s="99"/>
      <c r="AD36" s="99">
        <f>AR36/AK36</f>
        <v>901.1604761904762</v>
      </c>
      <c r="AE36" s="99"/>
      <c r="AF36" s="85">
        <f>AK36</f>
        <v>21</v>
      </c>
      <c r="AG36" s="84"/>
      <c r="AH36" s="84"/>
      <c r="AI36" s="84"/>
      <c r="AJ36" s="84"/>
      <c r="AK36" s="84">
        <v>21</v>
      </c>
      <c r="AL36" s="84"/>
      <c r="AM36" s="86">
        <f>SUM(AN36:AR36)</f>
        <v>18924.37</v>
      </c>
      <c r="AN36" s="83"/>
      <c r="AO36" s="83"/>
      <c r="AP36" s="83"/>
      <c r="AQ36" s="83"/>
      <c r="AR36" s="83">
        <v>18924.37</v>
      </c>
      <c r="AS36" s="84"/>
      <c r="AT36" s="14">
        <f>SUM(AU36:AZ36)</f>
        <v>0</v>
      </c>
      <c r="AU36" s="36"/>
      <c r="AV36" s="36"/>
      <c r="AW36" s="36"/>
      <c r="AX36" s="36"/>
      <c r="AY36" s="37">
        <f>(P36-AK36)*I36</f>
        <v>0</v>
      </c>
      <c r="AZ36" s="50"/>
    </row>
    <row r="37" spans="1:65" s="29" customFormat="1" ht="36.75" customHeight="1" thickBot="1">
      <c r="A37" s="23">
        <v>4</v>
      </c>
      <c r="B37" s="24" t="s">
        <v>3</v>
      </c>
      <c r="C37" s="24" t="s">
        <v>5</v>
      </c>
      <c r="D37" s="59">
        <f aca="true" t="shared" si="24" ref="D37:J37">SUM(D38:D46)</f>
        <v>91640.603</v>
      </c>
      <c r="E37" s="27">
        <f t="shared" si="24"/>
        <v>9028.79</v>
      </c>
      <c r="F37" s="27">
        <f t="shared" si="24"/>
        <v>38536.5</v>
      </c>
      <c r="G37" s="27">
        <f t="shared" si="24"/>
        <v>20999.59</v>
      </c>
      <c r="H37" s="27">
        <f t="shared" si="24"/>
        <v>10436.77</v>
      </c>
      <c r="I37" s="27">
        <f t="shared" si="24"/>
        <v>12638.953</v>
      </c>
      <c r="J37" s="27">
        <f t="shared" si="24"/>
        <v>0</v>
      </c>
      <c r="K37" s="28">
        <f t="shared" si="18"/>
        <v>20.246981460826923</v>
      </c>
      <c r="L37" s="28">
        <f>S37/E37</f>
        <v>17.699999667729564</v>
      </c>
      <c r="M37" s="28">
        <f>T37/F37</f>
        <v>22.361901833326847</v>
      </c>
      <c r="N37" s="28">
        <f>U37/G37</f>
        <v>20.14996149924832</v>
      </c>
      <c r="O37" s="28">
        <f>V37/H37</f>
        <v>17.56301901833613</v>
      </c>
      <c r="P37" s="28">
        <f>W37/I37</f>
        <v>17.99551434363274</v>
      </c>
      <c r="Q37" s="28"/>
      <c r="R37" s="27">
        <f aca="true" t="shared" si="25" ref="R37:AE37">SUM(R38:R46)</f>
        <v>1855445.59</v>
      </c>
      <c r="S37" s="61">
        <f t="shared" si="25"/>
        <v>159809.58000000002</v>
      </c>
      <c r="T37" s="61">
        <f t="shared" si="25"/>
        <v>861749.43</v>
      </c>
      <c r="U37" s="61">
        <f t="shared" si="25"/>
        <v>423140.93000000005</v>
      </c>
      <c r="V37" s="61">
        <f t="shared" si="25"/>
        <v>183301.19</v>
      </c>
      <c r="W37" s="61">
        <f t="shared" si="25"/>
        <v>227444.46000000002</v>
      </c>
      <c r="X37" s="61">
        <f t="shared" si="25"/>
        <v>0</v>
      </c>
      <c r="Y37" s="59">
        <f t="shared" si="25"/>
        <v>92624.31095826744</v>
      </c>
      <c r="Z37" s="59">
        <f t="shared" si="25"/>
        <v>9133.738418079098</v>
      </c>
      <c r="AA37" s="59">
        <f t="shared" si="25"/>
        <v>38546.504</v>
      </c>
      <c r="AB37" s="59">
        <f t="shared" si="25"/>
        <v>21271.01413100073</v>
      </c>
      <c r="AC37" s="59">
        <f t="shared" si="25"/>
        <v>10795.408853632047</v>
      </c>
      <c r="AD37" s="59">
        <f t="shared" si="25"/>
        <v>12877.645555555557</v>
      </c>
      <c r="AE37" s="59">
        <f t="shared" si="25"/>
        <v>0</v>
      </c>
      <c r="AF37" s="86">
        <f>AM37/Y37</f>
        <v>20.225777882915356</v>
      </c>
      <c r="AG37" s="101">
        <f>AG40</f>
        <v>17.7</v>
      </c>
      <c r="AH37" s="101">
        <f>AO37/AA37</f>
        <v>22.3607284852603</v>
      </c>
      <c r="AI37" s="101">
        <f>AP37/AB37</f>
        <v>20.145115195776526</v>
      </c>
      <c r="AJ37" s="101">
        <f>AQ37/AC37</f>
        <v>17.5536668012573</v>
      </c>
      <c r="AK37" s="27">
        <f>AK40</f>
        <v>18</v>
      </c>
      <c r="AL37" s="27"/>
      <c r="AM37" s="27">
        <f aca="true" t="shared" si="26" ref="AM37:AZ37">SUM(AM38:AM46)</f>
        <v>1873398.74</v>
      </c>
      <c r="AN37" s="27">
        <f t="shared" si="26"/>
        <v>161667.17</v>
      </c>
      <c r="AO37" s="27">
        <f t="shared" si="26"/>
        <v>861927.91</v>
      </c>
      <c r="AP37" s="27">
        <f t="shared" si="26"/>
        <v>428507.03</v>
      </c>
      <c r="AQ37" s="27">
        <f t="shared" si="26"/>
        <v>189499.01</v>
      </c>
      <c r="AR37" s="27">
        <f t="shared" si="26"/>
        <v>231797.62000000002</v>
      </c>
      <c r="AS37" s="27">
        <f t="shared" si="26"/>
        <v>0</v>
      </c>
      <c r="AT37" s="118">
        <f t="shared" si="26"/>
        <v>-113.36330000001772</v>
      </c>
      <c r="AU37" s="27">
        <f t="shared" si="26"/>
        <v>0</v>
      </c>
      <c r="AV37" s="27">
        <f t="shared" si="26"/>
        <v>0</v>
      </c>
      <c r="AW37" s="27">
        <f t="shared" si="26"/>
        <v>0</v>
      </c>
      <c r="AX37" s="27">
        <f t="shared" si="26"/>
        <v>0</v>
      </c>
      <c r="AY37" s="27">
        <f t="shared" si="26"/>
        <v>-113.36330000001772</v>
      </c>
      <c r="AZ37" s="27">
        <f t="shared" si="26"/>
        <v>0</v>
      </c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</row>
    <row r="38" spans="1:52" s="4" customFormat="1" ht="56.25" customHeight="1">
      <c r="A38" s="123"/>
      <c r="B38" s="124" t="s">
        <v>39</v>
      </c>
      <c r="C38" s="72"/>
      <c r="D38" s="63">
        <f>SUM(E38:I38)</f>
        <v>14048.43</v>
      </c>
      <c r="E38" s="37"/>
      <c r="F38" s="37">
        <v>14048.43</v>
      </c>
      <c r="G38" s="37"/>
      <c r="H38" s="37"/>
      <c r="I38" s="37"/>
      <c r="J38" s="37"/>
      <c r="K38" s="63">
        <f t="shared" si="18"/>
        <v>26.50000035591166</v>
      </c>
      <c r="L38" s="73"/>
      <c r="M38" s="145">
        <v>26.5</v>
      </c>
      <c r="N38" s="73"/>
      <c r="O38" s="73"/>
      <c r="P38" s="73"/>
      <c r="Q38" s="37"/>
      <c r="R38" s="15">
        <f>SUM(S38:W38)</f>
        <v>372283.4</v>
      </c>
      <c r="S38" s="13"/>
      <c r="T38" s="13">
        <f>353561.65+18721.75</f>
        <v>372283.4</v>
      </c>
      <c r="U38" s="13"/>
      <c r="V38" s="13"/>
      <c r="W38" s="13"/>
      <c r="X38" s="13"/>
      <c r="Y38" s="67">
        <f>SUM(Z38:AD38)</f>
        <v>14048.43</v>
      </c>
      <c r="Z38" s="97"/>
      <c r="AA38" s="97">
        <f>ROUND(AO38/AH38,3)</f>
        <v>14048.43</v>
      </c>
      <c r="AB38" s="97"/>
      <c r="AC38" s="97"/>
      <c r="AD38" s="97"/>
      <c r="AE38" s="97"/>
      <c r="AF38" s="14">
        <f>AH38</f>
        <v>26.5</v>
      </c>
      <c r="AG38" s="37"/>
      <c r="AH38" s="37">
        <v>26.5</v>
      </c>
      <c r="AI38" s="13"/>
      <c r="AJ38" s="13"/>
      <c r="AK38" s="13"/>
      <c r="AL38" s="37"/>
      <c r="AM38" s="15">
        <f>SUM(AN38:AR38)</f>
        <v>372283.39</v>
      </c>
      <c r="AN38" s="13"/>
      <c r="AO38" s="13">
        <f>18721.75+353561.64</f>
        <v>372283.39</v>
      </c>
      <c r="AP38" s="13"/>
      <c r="AQ38" s="13"/>
      <c r="AR38" s="13"/>
      <c r="AS38" s="13"/>
      <c r="AT38" s="15">
        <f>SUM(AU38:AY38)</f>
        <v>0</v>
      </c>
      <c r="AU38" s="37"/>
      <c r="AV38" s="37">
        <f>(M38-AH38)*F38</f>
        <v>0</v>
      </c>
      <c r="AW38" s="37"/>
      <c r="AX38" s="37"/>
      <c r="AY38" s="37"/>
      <c r="AZ38" s="13"/>
    </row>
    <row r="39" spans="1:52" ht="45.75" customHeight="1">
      <c r="A39" s="38"/>
      <c r="B39" s="39" t="s">
        <v>24</v>
      </c>
      <c r="C39" s="40"/>
      <c r="D39" s="14">
        <f>SUM(E39:I39)</f>
        <v>789.35</v>
      </c>
      <c r="E39" s="13"/>
      <c r="F39" s="13"/>
      <c r="G39" s="13">
        <v>789.35</v>
      </c>
      <c r="H39" s="13"/>
      <c r="I39" s="13"/>
      <c r="J39" s="13"/>
      <c r="K39" s="14">
        <f t="shared" si="18"/>
        <v>29.10000633432571</v>
      </c>
      <c r="L39" s="13"/>
      <c r="M39" s="13"/>
      <c r="N39" s="13">
        <v>29.1</v>
      </c>
      <c r="O39" s="13"/>
      <c r="P39" s="13"/>
      <c r="Q39" s="13"/>
      <c r="R39" s="14">
        <f>SUM(S39:W39)</f>
        <v>22970.09</v>
      </c>
      <c r="S39" s="13"/>
      <c r="T39" s="13"/>
      <c r="U39" s="13">
        <v>22970.09</v>
      </c>
      <c r="V39" s="13"/>
      <c r="W39" s="13"/>
      <c r="X39" s="13"/>
      <c r="Y39" s="64">
        <f>SUM(Z39:AD39)</f>
        <v>789.3494845360824</v>
      </c>
      <c r="Z39" s="65"/>
      <c r="AA39" s="65"/>
      <c r="AB39" s="65">
        <f>AP39/AI39</f>
        <v>789.3494845360824</v>
      </c>
      <c r="AC39" s="65"/>
      <c r="AD39" s="65"/>
      <c r="AE39" s="97"/>
      <c r="AF39" s="14">
        <f>AI39</f>
        <v>29.1</v>
      </c>
      <c r="AG39" s="127"/>
      <c r="AH39" s="13"/>
      <c r="AI39" s="127">
        <v>29.1</v>
      </c>
      <c r="AJ39" s="13"/>
      <c r="AK39" s="13"/>
      <c r="AL39" s="13"/>
      <c r="AM39" s="14">
        <f>SUM(AN39:AR39)</f>
        <v>22970.07</v>
      </c>
      <c r="AN39" s="13"/>
      <c r="AO39" s="13"/>
      <c r="AP39" s="13">
        <f>10107.91+12862.16</f>
        <v>22970.07</v>
      </c>
      <c r="AQ39" s="13"/>
      <c r="AR39" s="13"/>
      <c r="AS39" s="13"/>
      <c r="AT39" s="15">
        <f>SUM(AU39:AY39)</f>
        <v>0</v>
      </c>
      <c r="AU39" s="37"/>
      <c r="AV39" s="37"/>
      <c r="AW39" s="37">
        <f>(N39-AI39)*G39</f>
        <v>0</v>
      </c>
      <c r="AX39" s="37"/>
      <c r="AY39" s="37"/>
      <c r="AZ39" s="13"/>
    </row>
    <row r="40" spans="1:52" ht="46.5" customHeight="1">
      <c r="A40" s="9"/>
      <c r="B40" s="43" t="s">
        <v>25</v>
      </c>
      <c r="C40" s="10"/>
      <c r="D40" s="15">
        <f aca="true" t="shared" si="27" ref="D40:D46">SUM(E40:I40)</f>
        <v>43593.79</v>
      </c>
      <c r="E40" s="34">
        <v>3771</v>
      </c>
      <c r="F40" s="34">
        <v>1594.48</v>
      </c>
      <c r="G40" s="34">
        <v>20210.24</v>
      </c>
      <c r="H40" s="34">
        <v>6681.74</v>
      </c>
      <c r="I40" s="34">
        <v>11336.33</v>
      </c>
      <c r="J40" s="96"/>
      <c r="K40" s="120">
        <f t="shared" si="18"/>
        <v>19.14922423583726</v>
      </c>
      <c r="L40" s="37">
        <v>17.7</v>
      </c>
      <c r="M40" s="37">
        <v>19.8</v>
      </c>
      <c r="N40" s="37">
        <f>M40</f>
        <v>19.8</v>
      </c>
      <c r="O40" s="37">
        <f>N40</f>
        <v>19.8</v>
      </c>
      <c r="P40" s="37">
        <v>17.99</v>
      </c>
      <c r="Q40" s="37"/>
      <c r="R40" s="15">
        <f aca="true" t="shared" si="28" ref="R40:R46">SUM(S40:W40)</f>
        <v>834787.26</v>
      </c>
      <c r="S40" s="37">
        <v>66746.7</v>
      </c>
      <c r="T40" s="37">
        <v>31571.34</v>
      </c>
      <c r="U40" s="37">
        <v>400170.84</v>
      </c>
      <c r="V40" s="37">
        <v>132301.12</v>
      </c>
      <c r="W40" s="37">
        <v>203997.26</v>
      </c>
      <c r="X40" s="37"/>
      <c r="Y40" s="67">
        <f aca="true" t="shared" si="29" ref="Y40:Y46">SUM(Z40:AD40)</f>
        <v>44331.02731039206</v>
      </c>
      <c r="Z40" s="97">
        <f>AN40/AG40</f>
        <v>3987.1022598870063</v>
      </c>
      <c r="AA40" s="97">
        <f>ROUND(AO40/AH40,3)</f>
        <v>1594.48</v>
      </c>
      <c r="AB40" s="97">
        <f>AP40/AI40</f>
        <v>20481.664646464647</v>
      </c>
      <c r="AC40" s="97">
        <f>AQ40/AJ40</f>
        <v>6692.75707070707</v>
      </c>
      <c r="AD40" s="97">
        <f>AR40/AK40</f>
        <v>11575.023333333334</v>
      </c>
      <c r="AE40" s="97"/>
      <c r="AF40" s="15">
        <f>AM40/Y40</f>
        <v>19.141139772348204</v>
      </c>
      <c r="AG40" s="37">
        <v>17.7</v>
      </c>
      <c r="AH40" s="37">
        <v>19.8</v>
      </c>
      <c r="AI40" s="37">
        <f>AH40</f>
        <v>19.8</v>
      </c>
      <c r="AJ40" s="37">
        <f>AH40</f>
        <v>19.8</v>
      </c>
      <c r="AK40" s="37">
        <v>18</v>
      </c>
      <c r="AL40" s="37"/>
      <c r="AM40" s="15">
        <f aca="true" t="shared" si="30" ref="AM40:AM46">SUM(AN40:AR40)</f>
        <v>848546.39</v>
      </c>
      <c r="AN40" s="37">
        <f>70571.71</f>
        <v>70571.71</v>
      </c>
      <c r="AO40" s="37">
        <f>9144.33+22426.38</f>
        <v>31570.71</v>
      </c>
      <c r="AP40" s="37">
        <f>48060.49+86958.01+102776.39+167742.07</f>
        <v>405536.96</v>
      </c>
      <c r="AQ40" s="37">
        <f>132516.59</f>
        <v>132516.59</v>
      </c>
      <c r="AR40" s="37">
        <f>70053.07+138297.35</f>
        <v>208350.42</v>
      </c>
      <c r="AS40" s="37"/>
      <c r="AT40" s="15">
        <f aca="true" t="shared" si="31" ref="AT40:AT46">SUM(AU40:AY40)</f>
        <v>-113.36330000001772</v>
      </c>
      <c r="AU40" s="37">
        <f>(L40-AG40)*E40</f>
        <v>0</v>
      </c>
      <c r="AV40" s="37">
        <f>(M40-AH40)*F40</f>
        <v>0</v>
      </c>
      <c r="AW40" s="37">
        <f>(N40-AI40)*G40</f>
        <v>0</v>
      </c>
      <c r="AX40" s="37">
        <f>(O40-AJ40)*H40</f>
        <v>0</v>
      </c>
      <c r="AY40" s="37">
        <f>(P40-AK40)*I40</f>
        <v>-113.36330000001772</v>
      </c>
      <c r="AZ40" s="37"/>
    </row>
    <row r="41" spans="1:52" ht="47.25" customHeight="1">
      <c r="A41" s="38"/>
      <c r="B41" s="43" t="s">
        <v>29</v>
      </c>
      <c r="C41" s="10"/>
      <c r="D41" s="15">
        <f t="shared" si="27"/>
        <v>3755.03</v>
      </c>
      <c r="E41" s="13"/>
      <c r="F41" s="13"/>
      <c r="G41" s="13"/>
      <c r="H41" s="65">
        <v>3755.03</v>
      </c>
      <c r="I41" s="13"/>
      <c r="J41" s="13"/>
      <c r="K41" s="14">
        <f t="shared" si="18"/>
        <v>13.581800944333333</v>
      </c>
      <c r="L41" s="37"/>
      <c r="M41" s="37"/>
      <c r="N41" s="37"/>
      <c r="O41" s="37">
        <v>13.58</v>
      </c>
      <c r="P41" s="37"/>
      <c r="Q41" s="37"/>
      <c r="R41" s="15">
        <f t="shared" si="28"/>
        <v>51000.07</v>
      </c>
      <c r="S41" s="13"/>
      <c r="T41" s="13"/>
      <c r="U41" s="13"/>
      <c r="V41" s="13">
        <v>51000.07</v>
      </c>
      <c r="W41" s="13"/>
      <c r="X41" s="37"/>
      <c r="Y41" s="67">
        <f t="shared" si="29"/>
        <v>3898.727540500736</v>
      </c>
      <c r="Z41" s="97"/>
      <c r="AA41" s="65"/>
      <c r="AB41" s="97"/>
      <c r="AC41" s="97">
        <f>AQ41/AJ41</f>
        <v>3898.727540500736</v>
      </c>
      <c r="AD41" s="97"/>
      <c r="AE41" s="97"/>
      <c r="AF41" s="14">
        <f>AJ41</f>
        <v>13.58</v>
      </c>
      <c r="AG41" s="37"/>
      <c r="AH41" s="37"/>
      <c r="AI41" s="13"/>
      <c r="AJ41" s="13">
        <v>13.58</v>
      </c>
      <c r="AK41" s="13"/>
      <c r="AL41" s="37"/>
      <c r="AM41" s="15">
        <f t="shared" si="30"/>
        <v>52944.719999999994</v>
      </c>
      <c r="AN41" s="13"/>
      <c r="AO41" s="13"/>
      <c r="AP41" s="13"/>
      <c r="AQ41" s="13">
        <f>11546+28713.73+12684.99</f>
        <v>52944.719999999994</v>
      </c>
      <c r="AR41" s="13"/>
      <c r="AS41" s="37"/>
      <c r="AT41" s="15">
        <f t="shared" si="31"/>
        <v>0</v>
      </c>
      <c r="AU41" s="37"/>
      <c r="AV41" s="37"/>
      <c r="AW41" s="37"/>
      <c r="AX41" s="37"/>
      <c r="AY41" s="37"/>
      <c r="AZ41" s="13"/>
    </row>
    <row r="42" spans="1:52" ht="47.25" customHeight="1">
      <c r="A42" s="38"/>
      <c r="B42" s="43" t="s">
        <v>55</v>
      </c>
      <c r="C42" s="10"/>
      <c r="D42" s="15"/>
      <c r="E42" s="37"/>
      <c r="F42" s="37"/>
      <c r="G42" s="37"/>
      <c r="H42" s="97"/>
      <c r="I42" s="37"/>
      <c r="J42" s="37"/>
      <c r="K42" s="14" t="e">
        <f t="shared" si="18"/>
        <v>#DIV/0!</v>
      </c>
      <c r="L42" s="37"/>
      <c r="M42" s="37">
        <v>13.58</v>
      </c>
      <c r="N42" s="37"/>
      <c r="O42" s="37"/>
      <c r="P42" s="37"/>
      <c r="Q42" s="37"/>
      <c r="R42" s="15"/>
      <c r="S42" s="13"/>
      <c r="T42" s="13"/>
      <c r="U42" s="13"/>
      <c r="V42" s="13"/>
      <c r="W42" s="13"/>
      <c r="X42" s="37"/>
      <c r="Y42" s="67">
        <f>AA42</f>
        <v>10</v>
      </c>
      <c r="Z42" s="97"/>
      <c r="AA42" s="97">
        <f>AO42/AH42</f>
        <v>10</v>
      </c>
      <c r="AB42" s="97"/>
      <c r="AC42" s="97"/>
      <c r="AD42" s="97"/>
      <c r="AE42" s="97"/>
      <c r="AF42" s="14">
        <f>AH42</f>
        <v>19.8</v>
      </c>
      <c r="AG42" s="37"/>
      <c r="AH42" s="37">
        <v>19.8</v>
      </c>
      <c r="AI42" s="13"/>
      <c r="AJ42" s="13"/>
      <c r="AK42" s="13"/>
      <c r="AL42" s="37"/>
      <c r="AM42" s="15">
        <f>AO42</f>
        <v>198</v>
      </c>
      <c r="AN42" s="13"/>
      <c r="AO42" s="13">
        <v>198</v>
      </c>
      <c r="AP42" s="13"/>
      <c r="AQ42" s="13"/>
      <c r="AR42" s="13"/>
      <c r="AS42" s="37"/>
      <c r="AT42" s="15"/>
      <c r="AU42" s="37"/>
      <c r="AV42" s="37"/>
      <c r="AW42" s="37"/>
      <c r="AX42" s="37"/>
      <c r="AY42" s="37"/>
      <c r="AZ42" s="13"/>
    </row>
    <row r="43" spans="1:52" s="4" customFormat="1" ht="39.75" customHeight="1">
      <c r="A43" s="66"/>
      <c r="B43" s="39" t="s">
        <v>44</v>
      </c>
      <c r="C43" s="39"/>
      <c r="D43" s="15">
        <f>SUM(E43:I43)</f>
        <v>0</v>
      </c>
      <c r="E43" s="37"/>
      <c r="F43" s="37"/>
      <c r="G43" s="37"/>
      <c r="H43" s="37"/>
      <c r="I43" s="37"/>
      <c r="J43" s="37"/>
      <c r="K43" s="14" t="e">
        <f t="shared" si="18"/>
        <v>#DIV/0!</v>
      </c>
      <c r="L43" s="13"/>
      <c r="M43" s="37"/>
      <c r="N43" s="13"/>
      <c r="O43" s="139"/>
      <c r="P43" s="37"/>
      <c r="Q43" s="37"/>
      <c r="R43" s="15">
        <f>SUM(S43:W43)</f>
        <v>0</v>
      </c>
      <c r="S43" s="13"/>
      <c r="T43" s="13"/>
      <c r="U43" s="13"/>
      <c r="V43" s="13"/>
      <c r="W43" s="13"/>
      <c r="X43" s="37"/>
      <c r="Y43" s="67">
        <f>SUM(Z43:AD43)</f>
        <v>203.9242424242424</v>
      </c>
      <c r="Z43" s="97"/>
      <c r="AA43" s="97"/>
      <c r="AB43" s="97"/>
      <c r="AC43" s="97">
        <f>AQ43/AJ43</f>
        <v>203.9242424242424</v>
      </c>
      <c r="AD43" s="97"/>
      <c r="AE43" s="97"/>
      <c r="AF43" s="14">
        <f>AJ43</f>
        <v>19.8</v>
      </c>
      <c r="AG43" s="37"/>
      <c r="AH43" s="37"/>
      <c r="AI43" s="13"/>
      <c r="AJ43" s="127">
        <v>19.8</v>
      </c>
      <c r="AK43" s="13"/>
      <c r="AL43" s="37"/>
      <c r="AM43" s="15">
        <f>SUM(AN43:AR43)</f>
        <v>4037.7</v>
      </c>
      <c r="AN43" s="13"/>
      <c r="AO43" s="13"/>
      <c r="AP43" s="13"/>
      <c r="AQ43" s="13">
        <v>4037.7</v>
      </c>
      <c r="AR43" s="13"/>
      <c r="AS43" s="37"/>
      <c r="AT43" s="15">
        <f>SUM(AU43:AY43)</f>
        <v>0</v>
      </c>
      <c r="AU43" s="37"/>
      <c r="AV43" s="37"/>
      <c r="AW43" s="37"/>
      <c r="AX43" s="37"/>
      <c r="AY43" s="37"/>
      <c r="AZ43" s="13"/>
    </row>
    <row r="44" spans="1:52" ht="43.5" customHeight="1">
      <c r="A44" s="66"/>
      <c r="B44" s="39" t="s">
        <v>26</v>
      </c>
      <c r="C44" s="39"/>
      <c r="D44" s="64">
        <f>SUM(E44:I44)</f>
        <v>1302.623</v>
      </c>
      <c r="E44" s="125"/>
      <c r="F44" s="125"/>
      <c r="G44" s="125"/>
      <c r="H44" s="125"/>
      <c r="I44" s="128">
        <v>1302.623</v>
      </c>
      <c r="J44" s="13"/>
      <c r="K44" s="126">
        <f t="shared" si="18"/>
        <v>17.99998925245447</v>
      </c>
      <c r="L44" s="13"/>
      <c r="M44" s="13"/>
      <c r="N44" s="13"/>
      <c r="O44" s="13"/>
      <c r="P44" s="13">
        <v>18</v>
      </c>
      <c r="Q44" s="13"/>
      <c r="R44" s="14">
        <f>SUM(S44:W44)</f>
        <v>23447.2</v>
      </c>
      <c r="S44" s="13"/>
      <c r="T44" s="13"/>
      <c r="U44" s="13"/>
      <c r="V44" s="13"/>
      <c r="W44" s="13">
        <v>23447.2</v>
      </c>
      <c r="X44" s="13"/>
      <c r="Y44" s="64">
        <f>SUM(Z44:AD44)</f>
        <v>1302.6222222222223</v>
      </c>
      <c r="Z44" s="65"/>
      <c r="AA44" s="65"/>
      <c r="AB44" s="65"/>
      <c r="AC44" s="65"/>
      <c r="AD44" s="65">
        <f>AR44/AK44</f>
        <v>1302.6222222222223</v>
      </c>
      <c r="AE44" s="65"/>
      <c r="AF44" s="14">
        <f>AK44</f>
        <v>18</v>
      </c>
      <c r="AG44" s="13"/>
      <c r="AH44" s="13"/>
      <c r="AI44" s="13"/>
      <c r="AJ44" s="13"/>
      <c r="AK44" s="13">
        <v>18</v>
      </c>
      <c r="AL44" s="13"/>
      <c r="AM44" s="14">
        <f>SUM(AN44:AR44)</f>
        <v>23447.2</v>
      </c>
      <c r="AN44" s="13"/>
      <c r="AO44" s="13"/>
      <c r="AP44" s="13"/>
      <c r="AQ44" s="13"/>
      <c r="AR44" s="13">
        <f>8607.36+14839.84</f>
        <v>23447.2</v>
      </c>
      <c r="AS44" s="13"/>
      <c r="AT44" s="14">
        <f>SUM(AU44:AY44)</f>
        <v>0</v>
      </c>
      <c r="AU44" s="37"/>
      <c r="AV44" s="37"/>
      <c r="AW44" s="37"/>
      <c r="AX44" s="37"/>
      <c r="AY44" s="37">
        <f>(P44-AK44)*I44</f>
        <v>0</v>
      </c>
      <c r="AZ44" s="13"/>
    </row>
    <row r="45" spans="1:52" ht="81.75" customHeight="1">
      <c r="A45" s="9"/>
      <c r="B45" s="43" t="s">
        <v>27</v>
      </c>
      <c r="C45" s="10"/>
      <c r="D45" s="15">
        <f t="shared" si="27"/>
        <v>9880.380000000001</v>
      </c>
      <c r="E45" s="97">
        <v>5257.79</v>
      </c>
      <c r="F45" s="97">
        <v>4622.59</v>
      </c>
      <c r="G45" s="37"/>
      <c r="H45" s="37"/>
      <c r="I45" s="37"/>
      <c r="J45" s="37"/>
      <c r="K45" s="15">
        <f t="shared" si="18"/>
        <v>18.776534910600603</v>
      </c>
      <c r="L45" s="37">
        <v>17.7</v>
      </c>
      <c r="M45" s="37">
        <v>20</v>
      </c>
      <c r="N45" s="37"/>
      <c r="O45" s="37"/>
      <c r="P45" s="37"/>
      <c r="Q45" s="37"/>
      <c r="R45" s="15">
        <f t="shared" si="28"/>
        <v>185519.3</v>
      </c>
      <c r="S45" s="37">
        <v>93062.88</v>
      </c>
      <c r="T45" s="37">
        <v>92456.42</v>
      </c>
      <c r="U45" s="37"/>
      <c r="V45" s="37"/>
      <c r="W45" s="37"/>
      <c r="X45" s="37"/>
      <c r="Y45" s="67">
        <f t="shared" si="29"/>
        <v>9769.230158192091</v>
      </c>
      <c r="Z45" s="97">
        <f>AN45/AG45</f>
        <v>5146.636158192091</v>
      </c>
      <c r="AA45" s="97">
        <f>ROUND(AO45/AH45,3)</f>
        <v>4622.594</v>
      </c>
      <c r="AB45" s="97"/>
      <c r="AC45" s="97"/>
      <c r="AD45" s="97"/>
      <c r="AE45" s="97"/>
      <c r="AF45" s="15">
        <f>AM45/Y45</f>
        <v>18.788310545236204</v>
      </c>
      <c r="AG45" s="37">
        <v>17.7</v>
      </c>
      <c r="AH45" s="37">
        <v>20</v>
      </c>
      <c r="AI45" s="37"/>
      <c r="AJ45" s="37"/>
      <c r="AK45" s="37"/>
      <c r="AL45" s="37"/>
      <c r="AM45" s="15">
        <f>SUM(AN45:AS45)</f>
        <v>183547.33000000002</v>
      </c>
      <c r="AN45" s="37">
        <f>10226.88+80868.58</f>
        <v>91095.46</v>
      </c>
      <c r="AO45" s="37">
        <f>33619.96+58831.91</f>
        <v>92451.87</v>
      </c>
      <c r="AP45" s="37"/>
      <c r="AQ45" s="37"/>
      <c r="AR45" s="37"/>
      <c r="AS45" s="37"/>
      <c r="AT45" s="15">
        <f t="shared" si="31"/>
        <v>0</v>
      </c>
      <c r="AU45" s="37">
        <f>(L45-AG45)*E45</f>
        <v>0</v>
      </c>
      <c r="AV45" s="37">
        <f>(M45-AH45)*F45</f>
        <v>0</v>
      </c>
      <c r="AW45" s="37"/>
      <c r="AX45" s="37"/>
      <c r="AY45" s="37"/>
      <c r="AZ45" s="13"/>
    </row>
    <row r="46" spans="1:52" ht="81.75" customHeight="1" thickBot="1">
      <c r="A46" s="38"/>
      <c r="B46" s="39" t="s">
        <v>28</v>
      </c>
      <c r="C46" s="40"/>
      <c r="D46" s="15">
        <f t="shared" si="27"/>
        <v>18271</v>
      </c>
      <c r="E46" s="13"/>
      <c r="F46" s="65">
        <v>18271</v>
      </c>
      <c r="G46" s="37"/>
      <c r="H46" s="37"/>
      <c r="I46" s="37"/>
      <c r="J46" s="37"/>
      <c r="K46" s="14">
        <f t="shared" si="18"/>
        <v>20.000999945268457</v>
      </c>
      <c r="L46" s="13"/>
      <c r="M46" s="139">
        <v>20</v>
      </c>
      <c r="N46" s="37"/>
      <c r="O46" s="37"/>
      <c r="P46" s="37"/>
      <c r="Q46" s="37"/>
      <c r="R46" s="15">
        <f t="shared" si="28"/>
        <v>365438.27</v>
      </c>
      <c r="S46" s="13"/>
      <c r="T46" s="13">
        <v>365438.27</v>
      </c>
      <c r="U46" s="13"/>
      <c r="V46" s="13"/>
      <c r="W46" s="13"/>
      <c r="X46" s="37"/>
      <c r="Y46" s="67">
        <f t="shared" si="29"/>
        <v>18271</v>
      </c>
      <c r="Z46" s="97"/>
      <c r="AA46" s="97">
        <f>ROUND(AO46/AH46,0)</f>
        <v>18271</v>
      </c>
      <c r="AB46" s="97" t="s">
        <v>34</v>
      </c>
      <c r="AC46" s="97"/>
      <c r="AD46" s="97"/>
      <c r="AE46" s="97"/>
      <c r="AF46" s="14">
        <f>AH46</f>
        <v>20</v>
      </c>
      <c r="AG46" s="37"/>
      <c r="AH46" s="37">
        <v>20</v>
      </c>
      <c r="AI46" s="13"/>
      <c r="AJ46" s="13"/>
      <c r="AK46" s="13"/>
      <c r="AL46" s="37"/>
      <c r="AM46" s="15">
        <f t="shared" si="30"/>
        <v>365423.94</v>
      </c>
      <c r="AN46" s="13"/>
      <c r="AO46" s="13">
        <f>139029.02+226394.92</f>
        <v>365423.94</v>
      </c>
      <c r="AP46" s="13"/>
      <c r="AQ46" s="13"/>
      <c r="AR46" s="13"/>
      <c r="AS46" s="37"/>
      <c r="AT46" s="15">
        <f t="shared" si="31"/>
        <v>0</v>
      </c>
      <c r="AU46" s="37"/>
      <c r="AV46" s="37">
        <f>(M46-AH46)*F46</f>
        <v>0</v>
      </c>
      <c r="AW46" s="37"/>
      <c r="AX46" s="37"/>
      <c r="AY46" s="37"/>
      <c r="AZ46" s="13"/>
    </row>
    <row r="47" spans="1:65" s="91" customFormat="1" ht="27.75" customHeight="1" thickBot="1">
      <c r="A47" s="88"/>
      <c r="B47" s="89" t="s">
        <v>60</v>
      </c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>
        <f aca="true" t="shared" si="32" ref="R47:X47">R37+R27+R19+R7</f>
        <v>14576535.37</v>
      </c>
      <c r="S47" s="90">
        <f t="shared" si="32"/>
        <v>1126425.9500000002</v>
      </c>
      <c r="T47" s="90">
        <f t="shared" si="32"/>
        <v>6634790.22</v>
      </c>
      <c r="U47" s="90">
        <f t="shared" si="32"/>
        <v>3021558.5300000003</v>
      </c>
      <c r="V47" s="90">
        <f t="shared" si="32"/>
        <v>1879043.4100000001</v>
      </c>
      <c r="W47" s="90">
        <f t="shared" si="32"/>
        <v>1735495.4000000001</v>
      </c>
      <c r="X47" s="90">
        <f t="shared" si="32"/>
        <v>179221.86000000002</v>
      </c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>
        <f aca="true" t="shared" si="33" ref="AM47:AZ47">AM37+AM27+AM19+AM7</f>
        <v>14642155.459999999</v>
      </c>
      <c r="AN47" s="90">
        <f t="shared" si="33"/>
        <v>1128617.3900000001</v>
      </c>
      <c r="AO47" s="90">
        <f t="shared" si="33"/>
        <v>6693104.64</v>
      </c>
      <c r="AP47" s="90">
        <f t="shared" si="33"/>
        <v>3030261.0300000003</v>
      </c>
      <c r="AQ47" s="90">
        <f t="shared" si="33"/>
        <v>1885413.44</v>
      </c>
      <c r="AR47" s="90">
        <f t="shared" si="33"/>
        <v>1725538.03</v>
      </c>
      <c r="AS47" s="90">
        <f t="shared" si="33"/>
        <v>179220.93</v>
      </c>
      <c r="AT47" s="90">
        <f t="shared" si="33"/>
        <v>8496.419402999987</v>
      </c>
      <c r="AU47" s="90">
        <f t="shared" si="33"/>
        <v>5.777890999994745</v>
      </c>
      <c r="AV47" s="90">
        <f t="shared" si="33"/>
        <v>0</v>
      </c>
      <c r="AW47" s="90">
        <f t="shared" si="33"/>
        <v>3.4735000000017773</v>
      </c>
      <c r="AX47" s="90">
        <f t="shared" si="33"/>
        <v>0</v>
      </c>
      <c r="AY47" s="90">
        <f t="shared" si="33"/>
        <v>8488.56401199999</v>
      </c>
      <c r="AZ47" s="90">
        <f t="shared" si="33"/>
        <v>-1.3959999999987303</v>
      </c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</row>
    <row r="48" spans="5:25" ht="25.5" customHeight="1">
      <c r="E48" s="6"/>
      <c r="Y48" s="6"/>
    </row>
    <row r="49" spans="2:57" ht="55.5" customHeight="1">
      <c r="B49" s="208"/>
      <c r="C49" s="208"/>
      <c r="D49" s="208"/>
      <c r="E49" s="208"/>
      <c r="U49" s="208"/>
      <c r="V49" s="208"/>
      <c r="W49" s="94"/>
      <c r="X49" s="94"/>
      <c r="Y49" s="94"/>
      <c r="Z49" s="94"/>
      <c r="AT49" s="213" t="s">
        <v>19</v>
      </c>
      <c r="AU49" s="213"/>
      <c r="AV49" s="213"/>
      <c r="AW49" s="213"/>
      <c r="AY49" s="214" t="s">
        <v>45</v>
      </c>
      <c r="AZ49" s="214"/>
      <c r="BA49" s="208"/>
      <c r="BB49" s="208"/>
      <c r="BC49" s="208"/>
      <c r="BD49" s="208"/>
      <c r="BE49" s="208"/>
    </row>
    <row r="50" spans="5:26" ht="55.5" customHeight="1">
      <c r="E50" s="6"/>
      <c r="Y50" s="6"/>
      <c r="Z50" s="6"/>
    </row>
    <row r="51" spans="5:54" ht="26.25">
      <c r="E51" s="6"/>
      <c r="Y51" s="6"/>
      <c r="Z51" s="6"/>
      <c r="AT51" s="6"/>
      <c r="AV51" s="93"/>
      <c r="BA51" s="6"/>
      <c r="BB51" s="6"/>
    </row>
    <row r="52" spans="5:26" ht="26.25">
      <c r="E52" s="6"/>
      <c r="Y52" s="6"/>
      <c r="Z52" s="6"/>
    </row>
    <row r="53" spans="5:26" ht="26.25">
      <c r="E53" s="6"/>
      <c r="Y53" s="6"/>
      <c r="Z53" s="6"/>
    </row>
    <row r="54" spans="5:26" ht="26.25">
      <c r="E54" s="6"/>
      <c r="Y54" s="6"/>
      <c r="Z54" s="6"/>
    </row>
    <row r="55" spans="5:26" ht="26.25">
      <c r="E55" s="6"/>
      <c r="Y55" s="6"/>
      <c r="Z55" s="6"/>
    </row>
    <row r="56" spans="5:26" ht="26.25">
      <c r="E56" s="6"/>
      <c r="Y56" s="6"/>
      <c r="Z56" s="6"/>
    </row>
    <row r="57" spans="5:26" ht="26.25">
      <c r="E57" s="6"/>
      <c r="Y57" s="6"/>
      <c r="Z57" s="6"/>
    </row>
    <row r="58" spans="5:26" ht="26.25">
      <c r="E58" s="6"/>
      <c r="Y58" s="6"/>
      <c r="Z58" s="6"/>
    </row>
    <row r="59" spans="5:26" ht="26.25">
      <c r="E59" s="6"/>
      <c r="Y59" s="6"/>
      <c r="Z59" s="6"/>
    </row>
    <row r="60" spans="5:26" ht="26.25">
      <c r="E60" s="6"/>
      <c r="Y60" s="6"/>
      <c r="Z60" s="6"/>
    </row>
    <row r="61" spans="5:26" ht="26.25">
      <c r="E61" s="6"/>
      <c r="Y61" s="6"/>
      <c r="Z61" s="6"/>
    </row>
    <row r="62" spans="5:26" ht="26.25">
      <c r="E62" s="6"/>
      <c r="Y62" s="6"/>
      <c r="Z62" s="6"/>
    </row>
    <row r="63" spans="5:26" ht="26.25">
      <c r="E63" s="6"/>
      <c r="Y63" s="6"/>
      <c r="Z63" s="6"/>
    </row>
    <row r="64" spans="5:26" ht="26.25">
      <c r="E64" s="6"/>
      <c r="Y64" s="6"/>
      <c r="Z64" s="6"/>
    </row>
    <row r="65" spans="5:26" ht="26.25">
      <c r="E65" s="6"/>
      <c r="Y65" s="6"/>
      <c r="Z65" s="6"/>
    </row>
    <row r="66" spans="5:26" ht="26.25">
      <c r="E66" s="6"/>
      <c r="Y66" s="6"/>
      <c r="Z66" s="6"/>
    </row>
    <row r="67" spans="5:26" ht="26.25">
      <c r="E67" s="6"/>
      <c r="Y67" s="6"/>
      <c r="Z67" s="6"/>
    </row>
    <row r="68" spans="5:26" ht="26.25">
      <c r="E68" s="6"/>
      <c r="Y68" s="6"/>
      <c r="Z68" s="6"/>
    </row>
    <row r="69" spans="5:26" ht="26.25">
      <c r="E69" s="6"/>
      <c r="Y69" s="6"/>
      <c r="Z69" s="6"/>
    </row>
    <row r="70" spans="5:26" ht="26.25">
      <c r="E70" s="6"/>
      <c r="Y70" s="6"/>
      <c r="Z70" s="6"/>
    </row>
    <row r="71" spans="5:26" ht="26.25">
      <c r="E71" s="6"/>
      <c r="Y71" s="6"/>
      <c r="Z71" s="6"/>
    </row>
    <row r="72" spans="5:26" ht="26.25">
      <c r="E72" s="6"/>
      <c r="Y72" s="6"/>
      <c r="Z72" s="6"/>
    </row>
    <row r="73" spans="5:26" ht="26.25">
      <c r="E73" s="6"/>
      <c r="Y73" s="6"/>
      <c r="Z73" s="6"/>
    </row>
    <row r="74" spans="5:26" ht="26.25">
      <c r="E74" s="6"/>
      <c r="Y74" s="6"/>
      <c r="Z74" s="6"/>
    </row>
    <row r="75" spans="5:26" ht="26.25">
      <c r="E75" s="6"/>
      <c r="Y75" s="6"/>
      <c r="Z75" s="6"/>
    </row>
    <row r="76" spans="5:26" ht="26.25">
      <c r="E76" s="6"/>
      <c r="Y76" s="6"/>
      <c r="Z76" s="6"/>
    </row>
    <row r="77" spans="5:26" ht="26.25">
      <c r="E77" s="6"/>
      <c r="Y77" s="6"/>
      <c r="Z77" s="6"/>
    </row>
    <row r="78" spans="5:26" ht="26.25">
      <c r="E78" s="6"/>
      <c r="Y78" s="6"/>
      <c r="Z78" s="6"/>
    </row>
    <row r="79" spans="5:26" ht="26.25">
      <c r="E79" s="6"/>
      <c r="Y79" s="6"/>
      <c r="Z79" s="6"/>
    </row>
    <row r="80" spans="5:26" ht="26.25">
      <c r="E80" s="6"/>
      <c r="Y80" s="6"/>
      <c r="Z80" s="6"/>
    </row>
    <row r="81" spans="5:26" ht="26.25">
      <c r="E81" s="6"/>
      <c r="Y81" s="6"/>
      <c r="Z81" s="6"/>
    </row>
    <row r="82" spans="5:26" ht="26.25">
      <c r="E82" s="6"/>
      <c r="Y82" s="6"/>
      <c r="Z82" s="6"/>
    </row>
    <row r="83" spans="5:26" ht="26.25">
      <c r="E83" s="6"/>
      <c r="Y83" s="6"/>
      <c r="Z83" s="6"/>
    </row>
    <row r="84" spans="5:26" ht="26.25">
      <c r="E84" s="6"/>
      <c r="Y84" s="6"/>
      <c r="Z84" s="6"/>
    </row>
    <row r="85" spans="5:26" ht="26.25">
      <c r="E85" s="6"/>
      <c r="Y85" s="6"/>
      <c r="Z85" s="6"/>
    </row>
    <row r="86" spans="5:26" ht="26.25">
      <c r="E86" s="6"/>
      <c r="Y86" s="6"/>
      <c r="Z86" s="6"/>
    </row>
    <row r="87" spans="5:26" ht="26.25">
      <c r="E87" s="6"/>
      <c r="Y87" s="6"/>
      <c r="Z87" s="6"/>
    </row>
    <row r="88" spans="5:26" ht="26.25">
      <c r="E88" s="6"/>
      <c r="Y88" s="6"/>
      <c r="Z88" s="6"/>
    </row>
    <row r="89" spans="5:26" ht="26.25">
      <c r="E89" s="6"/>
      <c r="Y89" s="6"/>
      <c r="Z89" s="6"/>
    </row>
    <row r="90" spans="5:26" ht="26.25">
      <c r="E90" s="6"/>
      <c r="Y90" s="6"/>
      <c r="Z90" s="6"/>
    </row>
    <row r="91" spans="25:26" ht="26.25">
      <c r="Y91" s="6"/>
      <c r="Z91" s="6"/>
    </row>
    <row r="92" spans="25:26" ht="26.25">
      <c r="Y92" s="6"/>
      <c r="Z92" s="6"/>
    </row>
    <row r="93" spans="25:26" ht="26.25">
      <c r="Y93" s="6"/>
      <c r="Z93" s="6"/>
    </row>
    <row r="94" spans="25:26" ht="26.25">
      <c r="Y94" s="6"/>
      <c r="Z94" s="6"/>
    </row>
    <row r="95" spans="25:26" ht="26.25">
      <c r="Y95" s="6"/>
      <c r="Z95" s="6"/>
    </row>
    <row r="96" spans="25:26" ht="26.25">
      <c r="Y96" s="6"/>
      <c r="Z96" s="6"/>
    </row>
    <row r="97" spans="25:26" ht="26.25">
      <c r="Y97" s="6"/>
      <c r="Z97" s="6"/>
    </row>
    <row r="98" spans="25:26" ht="26.25">
      <c r="Y98" s="6"/>
      <c r="Z98" s="6"/>
    </row>
    <row r="99" spans="25:26" ht="26.25">
      <c r="Y99" s="6"/>
      <c r="Z99" s="6"/>
    </row>
    <row r="100" spans="25:26" ht="26.25">
      <c r="Y100" s="6"/>
      <c r="Z100" s="6"/>
    </row>
    <row r="101" spans="25:26" ht="26.25">
      <c r="Y101" s="6"/>
      <c r="Z101" s="6"/>
    </row>
    <row r="102" spans="25:26" ht="26.25">
      <c r="Y102" s="6"/>
      <c r="Z102" s="6"/>
    </row>
    <row r="103" spans="25:26" ht="26.25">
      <c r="Y103" s="6"/>
      <c r="Z103" s="6"/>
    </row>
    <row r="104" spans="25:26" ht="26.25">
      <c r="Y104" s="6"/>
      <c r="Z104" s="6"/>
    </row>
    <row r="105" spans="25:26" ht="26.25">
      <c r="Y105" s="6"/>
      <c r="Z105" s="6"/>
    </row>
    <row r="106" spans="25:26" ht="26.25">
      <c r="Y106" s="6"/>
      <c r="Z106" s="6"/>
    </row>
    <row r="107" spans="25:26" ht="26.25">
      <c r="Y107" s="6"/>
      <c r="Z107" s="6"/>
    </row>
    <row r="108" spans="25:26" ht="26.25">
      <c r="Y108" s="6"/>
      <c r="Z108" s="6"/>
    </row>
    <row r="109" spans="25:26" ht="26.25">
      <c r="Y109" s="6"/>
      <c r="Z109" s="6"/>
    </row>
    <row r="110" spans="25:26" ht="26.25">
      <c r="Y110" s="6"/>
      <c r="Z110" s="6"/>
    </row>
    <row r="111" spans="25:26" ht="26.25">
      <c r="Y111" s="6"/>
      <c r="Z111" s="6"/>
    </row>
    <row r="112" spans="25:26" ht="26.25">
      <c r="Y112" s="6"/>
      <c r="Z112" s="6"/>
    </row>
    <row r="113" spans="25:26" ht="26.25">
      <c r="Y113" s="6"/>
      <c r="Z113" s="6"/>
    </row>
    <row r="114" spans="25:26" ht="26.25">
      <c r="Y114" s="6"/>
      <c r="Z114" s="6"/>
    </row>
    <row r="115" spans="25:26" ht="26.25">
      <c r="Y115" s="6"/>
      <c r="Z115" s="6"/>
    </row>
    <row r="116" spans="25:26" ht="26.25">
      <c r="Y116" s="6"/>
      <c r="Z116" s="6"/>
    </row>
    <row r="117" spans="25:26" ht="26.25">
      <c r="Y117" s="6"/>
      <c r="Z117" s="6"/>
    </row>
    <row r="118" spans="25:26" ht="26.25">
      <c r="Y118" s="6"/>
      <c r="Z118" s="6"/>
    </row>
    <row r="119" spans="25:26" ht="26.25">
      <c r="Y119" s="6"/>
      <c r="Z119" s="6"/>
    </row>
    <row r="120" spans="25:26" ht="26.25">
      <c r="Y120" s="6"/>
      <c r="Z120" s="6"/>
    </row>
    <row r="121" spans="25:26" ht="26.25">
      <c r="Y121" s="6"/>
      <c r="Z121" s="6"/>
    </row>
    <row r="122" spans="25:26" ht="26.25">
      <c r="Y122" s="6"/>
      <c r="Z122" s="6"/>
    </row>
    <row r="123" spans="25:26" ht="26.25">
      <c r="Y123" s="6"/>
      <c r="Z123" s="6"/>
    </row>
    <row r="124" spans="25:26" ht="26.25">
      <c r="Y124" s="6"/>
      <c r="Z124" s="6"/>
    </row>
    <row r="125" spans="25:26" ht="26.25">
      <c r="Y125" s="6"/>
      <c r="Z125" s="6"/>
    </row>
    <row r="126" spans="25:26" ht="26.25">
      <c r="Y126" s="6"/>
      <c r="Z126" s="6"/>
    </row>
    <row r="127" spans="25:26" ht="26.25">
      <c r="Y127" s="6"/>
      <c r="Z127" s="6"/>
    </row>
    <row r="128" spans="25:26" ht="26.25">
      <c r="Y128" s="6"/>
      <c r="Z128" s="6"/>
    </row>
    <row r="129" spans="25:26" ht="26.25">
      <c r="Y129" s="6"/>
      <c r="Z129" s="6"/>
    </row>
    <row r="130" spans="25:26" ht="26.25">
      <c r="Y130" s="6"/>
      <c r="Z130" s="6"/>
    </row>
    <row r="131" spans="25:26" ht="26.25">
      <c r="Y131" s="6"/>
      <c r="Z131" s="6"/>
    </row>
    <row r="132" spans="25:26" ht="26.25">
      <c r="Y132" s="6"/>
      <c r="Z132" s="6"/>
    </row>
    <row r="133" spans="25:26" ht="26.25">
      <c r="Y133" s="6"/>
      <c r="Z133" s="6"/>
    </row>
    <row r="134" spans="25:26" ht="26.25">
      <c r="Y134" s="6"/>
      <c r="Z134" s="6"/>
    </row>
    <row r="135" spans="25:26" ht="26.25">
      <c r="Y135" s="6"/>
      <c r="Z135" s="6"/>
    </row>
    <row r="136" spans="25:26" ht="26.25">
      <c r="Y136" s="6"/>
      <c r="Z136" s="6"/>
    </row>
    <row r="137" spans="25:26" ht="26.25">
      <c r="Y137" s="6"/>
      <c r="Z137" s="6"/>
    </row>
    <row r="138" spans="25:26" ht="26.25">
      <c r="Y138" s="6"/>
      <c r="Z138" s="6"/>
    </row>
    <row r="139" spans="25:26" ht="26.25">
      <c r="Y139" s="6"/>
      <c r="Z139" s="6"/>
    </row>
    <row r="140" spans="25:26" ht="26.25">
      <c r="Y140" s="6"/>
      <c r="Z140" s="6"/>
    </row>
    <row r="141" spans="25:26" ht="26.25">
      <c r="Y141" s="6"/>
      <c r="Z141" s="6"/>
    </row>
    <row r="142" spans="25:26" ht="26.25">
      <c r="Y142" s="6"/>
      <c r="Z142" s="6"/>
    </row>
    <row r="143" spans="25:26" ht="26.25">
      <c r="Y143" s="6"/>
      <c r="Z143" s="6"/>
    </row>
    <row r="144" spans="25:26" ht="26.25">
      <c r="Y144" s="6"/>
      <c r="Z144" s="6"/>
    </row>
    <row r="145" spans="25:26" ht="26.25">
      <c r="Y145" s="6"/>
      <c r="Z145" s="6"/>
    </row>
    <row r="146" spans="25:26" ht="26.25">
      <c r="Y146" s="6"/>
      <c r="Z146" s="6"/>
    </row>
    <row r="147" spans="25:26" ht="26.25">
      <c r="Y147" s="6"/>
      <c r="Z147" s="6"/>
    </row>
    <row r="148" spans="25:26" ht="26.25">
      <c r="Y148" s="6"/>
      <c r="Z148" s="6"/>
    </row>
    <row r="149" spans="25:26" ht="26.25">
      <c r="Y149" s="6"/>
      <c r="Z149" s="6"/>
    </row>
    <row r="150" spans="25:26" ht="26.25">
      <c r="Y150" s="6"/>
      <c r="Z150" s="6"/>
    </row>
    <row r="151" spans="25:26" ht="26.25">
      <c r="Y151" s="6"/>
      <c r="Z151" s="6"/>
    </row>
    <row r="152" spans="25:26" ht="26.25">
      <c r="Y152" s="6"/>
      <c r="Z152" s="6"/>
    </row>
    <row r="153" spans="25:26" ht="26.25">
      <c r="Y153" s="6"/>
      <c r="Z153" s="6"/>
    </row>
    <row r="154" spans="25:26" ht="26.25">
      <c r="Y154" s="6"/>
      <c r="Z154" s="6"/>
    </row>
    <row r="155" spans="25:26" ht="26.25">
      <c r="Y155" s="6"/>
      <c r="Z155" s="6"/>
    </row>
    <row r="156" spans="25:26" ht="26.25">
      <c r="Y156" s="6"/>
      <c r="Z156" s="6"/>
    </row>
    <row r="157" spans="25:26" ht="26.25">
      <c r="Y157" s="6"/>
      <c r="Z157" s="6"/>
    </row>
    <row r="158" spans="25:26" ht="26.25">
      <c r="Y158" s="6"/>
      <c r="Z158" s="6"/>
    </row>
    <row r="159" spans="25:26" ht="26.25">
      <c r="Y159" s="6"/>
      <c r="Z159" s="6"/>
    </row>
    <row r="160" spans="25:26" ht="26.25">
      <c r="Y160" s="6"/>
      <c r="Z160" s="6"/>
    </row>
    <row r="161" spans="25:26" ht="26.25">
      <c r="Y161" s="6"/>
      <c r="Z161" s="6"/>
    </row>
    <row r="162" spans="25:26" ht="26.25">
      <c r="Y162" s="6"/>
      <c r="Z162" s="6"/>
    </row>
    <row r="163" spans="25:26" ht="26.25">
      <c r="Y163" s="6"/>
      <c r="Z163" s="6"/>
    </row>
    <row r="164" spans="25:26" ht="26.25">
      <c r="Y164" s="6"/>
      <c r="Z164" s="6"/>
    </row>
    <row r="165" spans="25:26" ht="26.25">
      <c r="Y165" s="6"/>
      <c r="Z165" s="6"/>
    </row>
    <row r="166" spans="25:26" ht="26.25">
      <c r="Y166" s="6"/>
      <c r="Z166" s="6"/>
    </row>
    <row r="167" spans="25:26" ht="26.25">
      <c r="Y167" s="6"/>
      <c r="Z167" s="6"/>
    </row>
    <row r="168" spans="25:26" ht="26.25">
      <c r="Y168" s="6"/>
      <c r="Z168" s="6"/>
    </row>
    <row r="169" spans="25:26" ht="26.25">
      <c r="Y169" s="6"/>
      <c r="Z169" s="6"/>
    </row>
    <row r="170" spans="25:26" ht="26.25">
      <c r="Y170" s="6"/>
      <c r="Z170" s="6"/>
    </row>
    <row r="171" spans="25:26" ht="26.25">
      <c r="Y171" s="6"/>
      <c r="Z171" s="6"/>
    </row>
    <row r="172" spans="25:26" ht="26.25">
      <c r="Y172" s="6"/>
      <c r="Z172" s="6"/>
    </row>
    <row r="173" spans="25:26" ht="26.25">
      <c r="Y173" s="6"/>
      <c r="Z173" s="6"/>
    </row>
    <row r="174" spans="25:26" ht="26.25">
      <c r="Y174" s="6"/>
      <c r="Z174" s="6"/>
    </row>
    <row r="175" spans="25:26" ht="26.25">
      <c r="Y175" s="6"/>
      <c r="Z175" s="6"/>
    </row>
    <row r="176" spans="25:26" ht="26.25">
      <c r="Y176" s="6"/>
      <c r="Z176" s="6"/>
    </row>
    <row r="177" spans="25:26" ht="26.25">
      <c r="Y177" s="6"/>
      <c r="Z177" s="6"/>
    </row>
    <row r="178" spans="25:26" ht="26.25">
      <c r="Y178" s="6"/>
      <c r="Z178" s="6"/>
    </row>
    <row r="179" spans="25:26" ht="26.25">
      <c r="Y179" s="6"/>
      <c r="Z179" s="6"/>
    </row>
    <row r="180" spans="25:26" ht="26.25">
      <c r="Y180" s="6"/>
      <c r="Z180" s="6"/>
    </row>
    <row r="181" spans="25:26" ht="26.25">
      <c r="Y181" s="6"/>
      <c r="Z181" s="6"/>
    </row>
    <row r="182" spans="25:26" ht="26.25">
      <c r="Y182" s="6"/>
      <c r="Z182" s="6"/>
    </row>
    <row r="183" spans="25:26" ht="26.25">
      <c r="Y183" s="6"/>
      <c r="Z183" s="6"/>
    </row>
    <row r="184" spans="25:26" ht="26.25">
      <c r="Y184" s="6"/>
      <c r="Z184" s="6"/>
    </row>
    <row r="185" spans="25:26" ht="26.25">
      <c r="Y185" s="6"/>
      <c r="Z185" s="6"/>
    </row>
    <row r="186" spans="25:26" ht="26.25">
      <c r="Y186" s="6"/>
      <c r="Z186" s="6"/>
    </row>
    <row r="187" spans="25:26" ht="26.25">
      <c r="Y187" s="6"/>
      <c r="Z187" s="6"/>
    </row>
    <row r="188" spans="25:26" ht="26.25">
      <c r="Y188" s="6"/>
      <c r="Z188" s="6"/>
    </row>
    <row r="189" spans="25:26" ht="26.25">
      <c r="Y189" s="6"/>
      <c r="Z189" s="6"/>
    </row>
    <row r="190" spans="25:26" ht="26.25">
      <c r="Y190" s="6"/>
      <c r="Z190" s="6"/>
    </row>
    <row r="191" spans="25:26" ht="26.25">
      <c r="Y191" s="6"/>
      <c r="Z191" s="6"/>
    </row>
    <row r="192" spans="25:26" ht="26.25">
      <c r="Y192" s="6"/>
      <c r="Z192" s="6"/>
    </row>
    <row r="193" spans="25:26" ht="26.25">
      <c r="Y193" s="6"/>
      <c r="Z193" s="6"/>
    </row>
    <row r="194" spans="25:26" ht="26.25">
      <c r="Y194" s="6"/>
      <c r="Z194" s="6"/>
    </row>
    <row r="195" spans="25:26" ht="26.25">
      <c r="Y195" s="6"/>
      <c r="Z195" s="6"/>
    </row>
    <row r="196" spans="25:26" ht="26.25">
      <c r="Y196" s="6"/>
      <c r="Z196" s="6"/>
    </row>
    <row r="197" spans="25:26" ht="26.25">
      <c r="Y197" s="6"/>
      <c r="Z197" s="6"/>
    </row>
    <row r="198" spans="25:26" ht="26.25">
      <c r="Y198" s="6"/>
      <c r="Z198" s="6"/>
    </row>
    <row r="199" spans="25:26" ht="26.25">
      <c r="Y199" s="6"/>
      <c r="Z199" s="6"/>
    </row>
    <row r="200" spans="25:26" ht="26.25">
      <c r="Y200" s="6"/>
      <c r="Z200" s="6"/>
    </row>
    <row r="201" spans="25:26" ht="26.25">
      <c r="Y201" s="6"/>
      <c r="Z201" s="6"/>
    </row>
    <row r="202" spans="25:26" ht="26.25">
      <c r="Y202" s="6"/>
      <c r="Z202" s="6"/>
    </row>
    <row r="203" spans="25:26" ht="26.25">
      <c r="Y203" s="6"/>
      <c r="Z203" s="6"/>
    </row>
    <row r="204" spans="25:26" ht="26.25">
      <c r="Y204" s="6"/>
      <c r="Z204" s="6"/>
    </row>
    <row r="205" spans="25:26" ht="26.25">
      <c r="Y205" s="6"/>
      <c r="Z205" s="6"/>
    </row>
    <row r="206" spans="25:26" ht="26.25">
      <c r="Y206" s="6"/>
      <c r="Z206" s="6"/>
    </row>
    <row r="207" spans="25:26" ht="26.25">
      <c r="Y207" s="6"/>
      <c r="Z207" s="6"/>
    </row>
    <row r="208" spans="25:26" ht="26.25">
      <c r="Y208" s="6"/>
      <c r="Z208" s="6"/>
    </row>
    <row r="209" spans="25:26" ht="26.25">
      <c r="Y209" s="6"/>
      <c r="Z209" s="6"/>
    </row>
    <row r="210" spans="25:26" ht="26.25">
      <c r="Y210" s="6"/>
      <c r="Z210" s="6"/>
    </row>
    <row r="211" spans="25:26" ht="26.25">
      <c r="Y211" s="6"/>
      <c r="Z211" s="6"/>
    </row>
    <row r="212" spans="25:26" ht="26.25">
      <c r="Y212" s="6"/>
      <c r="Z212" s="6"/>
    </row>
    <row r="213" spans="25:26" ht="26.25">
      <c r="Y213" s="6"/>
      <c r="Z213" s="6"/>
    </row>
    <row r="214" spans="25:26" ht="26.25">
      <c r="Y214" s="6"/>
      <c r="Z214" s="6"/>
    </row>
    <row r="215" spans="25:26" ht="26.25">
      <c r="Y215" s="6"/>
      <c r="Z215" s="6"/>
    </row>
    <row r="216" spans="25:26" ht="26.25">
      <c r="Y216" s="6"/>
      <c r="Z216" s="6"/>
    </row>
    <row r="217" spans="25:26" ht="26.25">
      <c r="Y217" s="6"/>
      <c r="Z217" s="6"/>
    </row>
    <row r="218" spans="25:26" ht="26.25">
      <c r="Y218" s="6"/>
      <c r="Z218" s="6"/>
    </row>
    <row r="219" spans="25:26" ht="26.25">
      <c r="Y219" s="6"/>
      <c r="Z219" s="6"/>
    </row>
    <row r="220" spans="25:26" ht="26.25">
      <c r="Y220" s="6"/>
      <c r="Z220" s="6"/>
    </row>
    <row r="221" spans="25:26" ht="26.25">
      <c r="Y221" s="6"/>
      <c r="Z221" s="6"/>
    </row>
    <row r="222" spans="25:26" ht="26.25">
      <c r="Y222" s="6"/>
      <c r="Z222" s="6"/>
    </row>
    <row r="223" spans="25:26" ht="26.25">
      <c r="Y223" s="6"/>
      <c r="Z223" s="6"/>
    </row>
    <row r="224" spans="25:26" ht="26.25">
      <c r="Y224" s="6"/>
      <c r="Z224" s="6"/>
    </row>
    <row r="225" spans="25:26" ht="26.25">
      <c r="Y225" s="6"/>
      <c r="Z225" s="6"/>
    </row>
    <row r="226" spans="25:26" ht="26.25">
      <c r="Y226" s="6"/>
      <c r="Z226" s="6"/>
    </row>
    <row r="227" spans="25:26" ht="26.25">
      <c r="Y227" s="6"/>
      <c r="Z227" s="6"/>
    </row>
    <row r="228" spans="25:26" ht="26.25">
      <c r="Y228" s="6"/>
      <c r="Z228" s="6"/>
    </row>
    <row r="229" spans="25:26" ht="26.25">
      <c r="Y229" s="6"/>
      <c r="Z229" s="6"/>
    </row>
    <row r="230" spans="25:26" ht="26.25">
      <c r="Y230" s="6"/>
      <c r="Z230" s="6"/>
    </row>
    <row r="231" spans="25:26" ht="26.25">
      <c r="Y231" s="6"/>
      <c r="Z231" s="6"/>
    </row>
    <row r="232" spans="25:26" ht="26.25">
      <c r="Y232" s="6"/>
      <c r="Z232" s="6"/>
    </row>
    <row r="233" spans="25:26" ht="26.25">
      <c r="Y233" s="6"/>
      <c r="Z233" s="6"/>
    </row>
    <row r="234" spans="25:26" ht="26.25">
      <c r="Y234" s="6"/>
      <c r="Z234" s="6"/>
    </row>
    <row r="235" spans="25:26" ht="26.25">
      <c r="Y235" s="6"/>
      <c r="Z235" s="6"/>
    </row>
    <row r="236" spans="25:26" ht="26.25">
      <c r="Y236" s="6"/>
      <c r="Z236" s="6"/>
    </row>
    <row r="237" spans="25:26" ht="26.25">
      <c r="Y237" s="6"/>
      <c r="Z237" s="6"/>
    </row>
    <row r="238" spans="25:26" ht="26.25">
      <c r="Y238" s="6"/>
      <c r="Z238" s="6"/>
    </row>
    <row r="239" spans="25:26" ht="26.25">
      <c r="Y239" s="6"/>
      <c r="Z239" s="6"/>
    </row>
    <row r="240" spans="25:26" ht="26.25">
      <c r="Y240" s="6"/>
      <c r="Z240" s="6"/>
    </row>
    <row r="241" spans="25:26" ht="26.25">
      <c r="Y241" s="6"/>
      <c r="Z241" s="6"/>
    </row>
    <row r="242" spans="25:26" ht="26.25">
      <c r="Y242" s="6"/>
      <c r="Z242" s="6"/>
    </row>
    <row r="243" spans="25:26" ht="26.25">
      <c r="Y243" s="6"/>
      <c r="Z243" s="6"/>
    </row>
    <row r="244" spans="25:26" ht="26.25">
      <c r="Y244" s="6"/>
      <c r="Z244" s="6"/>
    </row>
    <row r="245" spans="25:26" ht="26.25">
      <c r="Y245" s="6"/>
      <c r="Z245" s="6"/>
    </row>
    <row r="246" spans="25:26" ht="26.25">
      <c r="Y246" s="6"/>
      <c r="Z246" s="6"/>
    </row>
    <row r="247" spans="25:26" ht="26.25">
      <c r="Y247" s="6"/>
      <c r="Z247" s="6"/>
    </row>
    <row r="248" spans="25:26" ht="26.25">
      <c r="Y248" s="6"/>
      <c r="Z248" s="6"/>
    </row>
    <row r="249" spans="25:26" ht="26.25">
      <c r="Y249" s="6"/>
      <c r="Z249" s="6"/>
    </row>
    <row r="250" spans="25:26" ht="26.25">
      <c r="Y250" s="6"/>
      <c r="Z250" s="6"/>
    </row>
    <row r="251" spans="25:26" ht="26.25">
      <c r="Y251" s="6"/>
      <c r="Z251" s="6"/>
    </row>
    <row r="252" spans="25:26" ht="26.25">
      <c r="Y252" s="6"/>
      <c r="Z252" s="6"/>
    </row>
    <row r="253" spans="25:26" ht="26.25">
      <c r="Y253" s="6"/>
      <c r="Z253" s="6"/>
    </row>
    <row r="254" spans="25:26" ht="26.25">
      <c r="Y254" s="6"/>
      <c r="Z254" s="6"/>
    </row>
    <row r="255" spans="25:26" ht="26.25">
      <c r="Y255" s="6"/>
      <c r="Z255" s="6"/>
    </row>
    <row r="256" spans="25:26" ht="26.25">
      <c r="Y256" s="6"/>
      <c r="Z256" s="6"/>
    </row>
    <row r="257" spans="25:26" ht="26.25">
      <c r="Y257" s="6"/>
      <c r="Z257" s="6"/>
    </row>
    <row r="258" spans="25:26" ht="26.25">
      <c r="Y258" s="6"/>
      <c r="Z258" s="6"/>
    </row>
    <row r="259" spans="25:26" ht="26.25">
      <c r="Y259" s="6"/>
      <c r="Z259" s="6"/>
    </row>
    <row r="260" spans="25:26" ht="26.25">
      <c r="Y260" s="6"/>
      <c r="Z260" s="6"/>
    </row>
    <row r="261" spans="25:26" ht="26.25">
      <c r="Y261" s="6"/>
      <c r="Z261" s="6"/>
    </row>
    <row r="262" spans="25:26" ht="26.25">
      <c r="Y262" s="6"/>
      <c r="Z262" s="6"/>
    </row>
    <row r="263" spans="25:26" ht="26.25">
      <c r="Y263" s="6"/>
      <c r="Z263" s="6"/>
    </row>
    <row r="264" spans="25:26" ht="26.25">
      <c r="Y264" s="6"/>
      <c r="Z264" s="6"/>
    </row>
    <row r="265" spans="25:26" ht="26.25">
      <c r="Y265" s="6"/>
      <c r="Z265" s="6"/>
    </row>
    <row r="266" spans="25:26" ht="26.25">
      <c r="Y266" s="6"/>
      <c r="Z266" s="6"/>
    </row>
    <row r="267" spans="25:26" ht="26.25">
      <c r="Y267" s="6"/>
      <c r="Z267" s="6"/>
    </row>
    <row r="268" spans="25:26" ht="26.25">
      <c r="Y268" s="6"/>
      <c r="Z268" s="6"/>
    </row>
    <row r="269" spans="25:26" ht="26.25">
      <c r="Y269" s="6"/>
      <c r="Z269" s="6"/>
    </row>
    <row r="270" spans="25:26" ht="26.25">
      <c r="Y270" s="6"/>
      <c r="Z270" s="6"/>
    </row>
    <row r="271" spans="25:26" ht="26.25">
      <c r="Y271" s="6"/>
      <c r="Z271" s="6"/>
    </row>
    <row r="272" spans="25:26" ht="26.25">
      <c r="Y272" s="6"/>
      <c r="Z272" s="6"/>
    </row>
    <row r="273" spans="25:26" ht="26.25">
      <c r="Y273" s="6"/>
      <c r="Z273" s="6"/>
    </row>
    <row r="274" spans="25:26" ht="26.25">
      <c r="Y274" s="6"/>
      <c r="Z274" s="6"/>
    </row>
    <row r="275" spans="25:26" ht="26.25">
      <c r="Y275" s="6"/>
      <c r="Z275" s="6"/>
    </row>
    <row r="276" spans="25:26" ht="26.25">
      <c r="Y276" s="6"/>
      <c r="Z276" s="6"/>
    </row>
    <row r="277" spans="25:26" ht="26.25">
      <c r="Y277" s="6"/>
      <c r="Z277" s="6"/>
    </row>
    <row r="278" spans="25:26" ht="26.25">
      <c r="Y278" s="6"/>
      <c r="Z278" s="6"/>
    </row>
    <row r="279" spans="25:26" ht="26.25">
      <c r="Y279" s="6"/>
      <c r="Z279" s="6"/>
    </row>
    <row r="280" spans="25:26" ht="26.25">
      <c r="Y280" s="6"/>
      <c r="Z280" s="6"/>
    </row>
    <row r="281" spans="25:26" ht="26.25">
      <c r="Y281" s="6"/>
      <c r="Z281" s="6"/>
    </row>
    <row r="282" spans="25:26" ht="26.25">
      <c r="Y282" s="6"/>
      <c r="Z282" s="6"/>
    </row>
    <row r="283" spans="25:26" ht="26.25">
      <c r="Y283" s="6"/>
      <c r="Z283" s="6"/>
    </row>
    <row r="284" spans="25:26" ht="26.25">
      <c r="Y284" s="6"/>
      <c r="Z284" s="6"/>
    </row>
    <row r="285" spans="25:26" ht="26.25">
      <c r="Y285" s="6"/>
      <c r="Z285" s="6"/>
    </row>
    <row r="286" spans="25:26" ht="26.25">
      <c r="Y286" s="6"/>
      <c r="Z286" s="6"/>
    </row>
    <row r="287" spans="25:26" ht="26.25">
      <c r="Y287" s="6"/>
      <c r="Z287" s="6"/>
    </row>
    <row r="288" spans="25:26" ht="26.25">
      <c r="Y288" s="6"/>
      <c r="Z288" s="6"/>
    </row>
    <row r="289" spans="25:26" ht="26.25">
      <c r="Y289" s="6"/>
      <c r="Z289" s="6"/>
    </row>
    <row r="290" spans="25:26" ht="26.25">
      <c r="Y290" s="6"/>
      <c r="Z290" s="6"/>
    </row>
    <row r="291" spans="25:26" ht="26.25">
      <c r="Y291" s="6"/>
      <c r="Z291" s="6"/>
    </row>
    <row r="292" spans="25:26" ht="26.25">
      <c r="Y292" s="6"/>
      <c r="Z292" s="6"/>
    </row>
    <row r="293" spans="25:26" ht="26.25">
      <c r="Y293" s="6"/>
      <c r="Z293" s="6"/>
    </row>
    <row r="294" spans="25:26" ht="26.25">
      <c r="Y294" s="6"/>
      <c r="Z294" s="6"/>
    </row>
    <row r="295" spans="25:26" ht="26.25">
      <c r="Y295" s="6"/>
      <c r="Z295" s="6"/>
    </row>
    <row r="296" spans="25:26" ht="26.25">
      <c r="Y296" s="6"/>
      <c r="Z296" s="6"/>
    </row>
    <row r="297" spans="25:26" ht="26.25">
      <c r="Y297" s="6"/>
      <c r="Z297" s="6"/>
    </row>
    <row r="298" spans="25:26" ht="26.25">
      <c r="Y298" s="6"/>
      <c r="Z298" s="6"/>
    </row>
    <row r="299" spans="25:26" ht="26.25">
      <c r="Y299" s="6"/>
      <c r="Z299" s="6"/>
    </row>
    <row r="300" spans="25:26" ht="26.25">
      <c r="Y300" s="6"/>
      <c r="Z300" s="6"/>
    </row>
    <row r="301" spans="25:26" ht="26.25">
      <c r="Y301" s="6"/>
      <c r="Z301" s="6"/>
    </row>
    <row r="302" spans="25:26" ht="26.25">
      <c r="Y302" s="6"/>
      <c r="Z302" s="6"/>
    </row>
    <row r="303" spans="25:26" ht="26.25">
      <c r="Y303" s="6"/>
      <c r="Z303" s="6"/>
    </row>
    <row r="304" spans="25:26" ht="26.25">
      <c r="Y304" s="6"/>
      <c r="Z304" s="6"/>
    </row>
    <row r="305" spans="25:26" ht="26.25">
      <c r="Y305" s="6"/>
      <c r="Z305" s="6"/>
    </row>
    <row r="306" spans="25:26" ht="26.25">
      <c r="Y306" s="6"/>
      <c r="Z306" s="6"/>
    </row>
    <row r="307" spans="25:26" ht="26.25">
      <c r="Y307" s="6"/>
      <c r="Z307" s="6"/>
    </row>
    <row r="308" spans="25:26" ht="26.25">
      <c r="Y308" s="6"/>
      <c r="Z308" s="6"/>
    </row>
    <row r="309" spans="25:26" ht="26.25">
      <c r="Y309" s="6"/>
      <c r="Z309" s="6"/>
    </row>
    <row r="310" spans="25:26" ht="26.25">
      <c r="Y310" s="6"/>
      <c r="Z310" s="6"/>
    </row>
    <row r="311" spans="25:26" ht="26.25">
      <c r="Y311" s="6"/>
      <c r="Z311" s="6"/>
    </row>
    <row r="312" spans="25:26" ht="26.25">
      <c r="Y312" s="6"/>
      <c r="Z312" s="6"/>
    </row>
    <row r="313" spans="25:26" ht="26.25">
      <c r="Y313" s="6"/>
      <c r="Z313" s="6"/>
    </row>
    <row r="314" spans="25:26" ht="26.25">
      <c r="Y314" s="6"/>
      <c r="Z314" s="6"/>
    </row>
    <row r="315" spans="25:26" ht="26.25">
      <c r="Y315" s="6"/>
      <c r="Z315" s="6"/>
    </row>
    <row r="316" spans="25:26" ht="26.25">
      <c r="Y316" s="6"/>
      <c r="Z316" s="6"/>
    </row>
    <row r="317" spans="25:26" ht="26.25">
      <c r="Y317" s="6"/>
      <c r="Z317" s="6"/>
    </row>
    <row r="318" spans="25:26" ht="26.25">
      <c r="Y318" s="6"/>
      <c r="Z318" s="6"/>
    </row>
    <row r="319" spans="25:26" ht="26.25">
      <c r="Y319" s="6"/>
      <c r="Z319" s="6"/>
    </row>
    <row r="320" spans="25:26" ht="26.25">
      <c r="Y320" s="6"/>
      <c r="Z320" s="6"/>
    </row>
    <row r="321" spans="25:26" ht="26.25">
      <c r="Y321" s="6"/>
      <c r="Z321" s="6"/>
    </row>
    <row r="322" spans="25:26" ht="26.25">
      <c r="Y322" s="6"/>
      <c r="Z322" s="6"/>
    </row>
    <row r="323" spans="25:26" ht="26.25">
      <c r="Y323" s="6"/>
      <c r="Z323" s="6"/>
    </row>
    <row r="324" spans="25:26" ht="26.25">
      <c r="Y324" s="6"/>
      <c r="Z324" s="6"/>
    </row>
    <row r="325" spans="25:26" ht="26.25">
      <c r="Y325" s="6"/>
      <c r="Z325" s="6"/>
    </row>
    <row r="326" spans="25:26" ht="26.25">
      <c r="Y326" s="6"/>
      <c r="Z326" s="6"/>
    </row>
    <row r="327" spans="25:26" ht="26.25">
      <c r="Y327" s="6"/>
      <c r="Z327" s="6"/>
    </row>
    <row r="328" spans="25:26" ht="26.25">
      <c r="Y328" s="6"/>
      <c r="Z328" s="6"/>
    </row>
    <row r="329" spans="25:26" ht="26.25">
      <c r="Y329" s="6"/>
      <c r="Z329" s="6"/>
    </row>
    <row r="330" spans="25:26" ht="26.25">
      <c r="Y330" s="6"/>
      <c r="Z330" s="6"/>
    </row>
    <row r="331" spans="25:26" ht="26.25">
      <c r="Y331" s="6"/>
      <c r="Z331" s="6"/>
    </row>
    <row r="332" spans="25:26" ht="26.25">
      <c r="Y332" s="6"/>
      <c r="Z332" s="6"/>
    </row>
    <row r="333" spans="25:26" ht="26.25">
      <c r="Y333" s="6"/>
      <c r="Z333" s="6"/>
    </row>
    <row r="334" spans="25:26" ht="26.25">
      <c r="Y334" s="6"/>
      <c r="Z334" s="6"/>
    </row>
    <row r="335" spans="25:26" ht="26.25">
      <c r="Y335" s="6"/>
      <c r="Z335" s="6"/>
    </row>
    <row r="336" spans="25:26" ht="26.25">
      <c r="Y336" s="6"/>
      <c r="Z336" s="6"/>
    </row>
    <row r="337" spans="25:26" ht="26.25">
      <c r="Y337" s="6"/>
      <c r="Z337" s="6"/>
    </row>
    <row r="338" spans="25:26" ht="26.25">
      <c r="Y338" s="6"/>
      <c r="Z338" s="6"/>
    </row>
    <row r="339" spans="25:26" ht="26.25">
      <c r="Y339" s="6"/>
      <c r="Z339" s="6"/>
    </row>
    <row r="340" spans="25:26" ht="26.25">
      <c r="Y340" s="6"/>
      <c r="Z340" s="6"/>
    </row>
    <row r="341" spans="25:26" ht="26.25">
      <c r="Y341" s="6"/>
      <c r="Z341" s="6"/>
    </row>
    <row r="342" spans="25:26" ht="26.25">
      <c r="Y342" s="6"/>
      <c r="Z342" s="6"/>
    </row>
    <row r="343" spans="25:26" ht="26.25">
      <c r="Y343" s="6"/>
      <c r="Z343" s="6"/>
    </row>
    <row r="344" spans="25:26" ht="26.25">
      <c r="Y344" s="6"/>
      <c r="Z344" s="6"/>
    </row>
    <row r="345" spans="25:26" ht="26.25">
      <c r="Y345" s="6"/>
      <c r="Z345" s="6"/>
    </row>
    <row r="346" spans="25:26" ht="26.25">
      <c r="Y346" s="6"/>
      <c r="Z346" s="6"/>
    </row>
    <row r="347" spans="25:26" ht="26.25">
      <c r="Y347" s="6"/>
      <c r="Z347" s="6"/>
    </row>
    <row r="348" spans="25:26" ht="26.25">
      <c r="Y348" s="6"/>
      <c r="Z348" s="6"/>
    </row>
    <row r="349" spans="25:26" ht="26.25">
      <c r="Y349" s="6"/>
      <c r="Z349" s="6"/>
    </row>
    <row r="350" spans="25:26" ht="26.25">
      <c r="Y350" s="6"/>
      <c r="Z350" s="6"/>
    </row>
    <row r="351" spans="25:26" ht="26.25">
      <c r="Y351" s="6"/>
      <c r="Z351" s="6"/>
    </row>
    <row r="352" spans="25:26" ht="26.25">
      <c r="Y352" s="6"/>
      <c r="Z352" s="6"/>
    </row>
    <row r="353" spans="25:26" ht="26.25">
      <c r="Y353" s="6"/>
      <c r="Z353" s="6"/>
    </row>
    <row r="354" spans="25:26" ht="26.25">
      <c r="Y354" s="6"/>
      <c r="Z354" s="6"/>
    </row>
    <row r="355" spans="25:26" ht="26.25">
      <c r="Y355" s="6"/>
      <c r="Z355" s="6"/>
    </row>
    <row r="356" spans="25:26" ht="26.25">
      <c r="Y356" s="6"/>
      <c r="Z356" s="6"/>
    </row>
    <row r="357" spans="25:26" ht="26.25">
      <c r="Y357" s="6"/>
      <c r="Z357" s="6"/>
    </row>
    <row r="358" spans="25:26" ht="26.25">
      <c r="Y358" s="6"/>
      <c r="Z358" s="6"/>
    </row>
    <row r="359" spans="25:26" ht="26.25">
      <c r="Y359" s="6"/>
      <c r="Z359" s="6"/>
    </row>
    <row r="360" spans="25:26" ht="26.25">
      <c r="Y360" s="6"/>
      <c r="Z360" s="6"/>
    </row>
    <row r="361" spans="25:26" ht="26.25">
      <c r="Y361" s="6"/>
      <c r="Z361" s="6"/>
    </row>
    <row r="362" spans="25:26" ht="26.25">
      <c r="Y362" s="6"/>
      <c r="Z362" s="6"/>
    </row>
    <row r="363" spans="25:26" ht="26.25">
      <c r="Y363" s="6"/>
      <c r="Z363" s="6"/>
    </row>
    <row r="364" spans="25:26" ht="26.25">
      <c r="Y364" s="6"/>
      <c r="Z364" s="6"/>
    </row>
    <row r="365" spans="25:26" ht="26.25">
      <c r="Y365" s="6"/>
      <c r="Z365" s="6"/>
    </row>
    <row r="366" spans="25:26" ht="26.25">
      <c r="Y366" s="6"/>
      <c r="Z366" s="6"/>
    </row>
    <row r="367" spans="25:26" ht="26.25">
      <c r="Y367" s="6"/>
      <c r="Z367" s="6"/>
    </row>
    <row r="368" spans="25:26" ht="26.25">
      <c r="Y368" s="6"/>
      <c r="Z368" s="6"/>
    </row>
    <row r="369" spans="25:26" ht="26.25">
      <c r="Y369" s="6"/>
      <c r="Z369" s="6"/>
    </row>
    <row r="370" spans="25:26" ht="26.25">
      <c r="Y370" s="6"/>
      <c r="Z370" s="6"/>
    </row>
    <row r="371" spans="25:26" ht="26.25">
      <c r="Y371" s="6"/>
      <c r="Z371" s="6"/>
    </row>
    <row r="372" spans="25:26" ht="26.25">
      <c r="Y372" s="6"/>
      <c r="Z372" s="6"/>
    </row>
    <row r="373" spans="25:26" ht="26.25">
      <c r="Y373" s="6"/>
      <c r="Z373" s="6"/>
    </row>
    <row r="374" spans="25:26" ht="26.25">
      <c r="Y374" s="6"/>
      <c r="Z374" s="6"/>
    </row>
    <row r="375" spans="25:26" ht="26.25">
      <c r="Y375" s="6"/>
      <c r="Z375" s="6"/>
    </row>
    <row r="376" spans="25:26" ht="26.25">
      <c r="Y376" s="6"/>
      <c r="Z376" s="6"/>
    </row>
    <row r="377" spans="25:26" ht="26.25">
      <c r="Y377" s="6"/>
      <c r="Z377" s="6"/>
    </row>
    <row r="378" spans="25:26" ht="26.25">
      <c r="Y378" s="6"/>
      <c r="Z378" s="6"/>
    </row>
    <row r="379" spans="25:26" ht="26.25">
      <c r="Y379" s="6"/>
      <c r="Z379" s="6"/>
    </row>
    <row r="380" spans="25:26" ht="26.25">
      <c r="Y380" s="6"/>
      <c r="Z380" s="6"/>
    </row>
    <row r="381" spans="25:26" ht="26.25">
      <c r="Y381" s="6"/>
      <c r="Z381" s="6"/>
    </row>
    <row r="382" spans="25:26" ht="26.25">
      <c r="Y382" s="6"/>
      <c r="Z382" s="6"/>
    </row>
    <row r="383" spans="25:26" ht="26.25">
      <c r="Y383" s="6"/>
      <c r="Z383" s="6"/>
    </row>
    <row r="384" spans="25:26" ht="26.25">
      <c r="Y384" s="6"/>
      <c r="Z384" s="6"/>
    </row>
    <row r="385" spans="25:26" ht="26.25">
      <c r="Y385" s="6"/>
      <c r="Z385" s="6"/>
    </row>
    <row r="386" spans="25:26" ht="26.25">
      <c r="Y386" s="6"/>
      <c r="Z386" s="6"/>
    </row>
    <row r="387" spans="25:26" ht="26.25">
      <c r="Y387" s="6"/>
      <c r="Z387" s="6"/>
    </row>
    <row r="388" spans="25:26" ht="26.25">
      <c r="Y388" s="6"/>
      <c r="Z388" s="6"/>
    </row>
    <row r="389" spans="25:26" ht="26.25">
      <c r="Y389" s="6"/>
      <c r="Z389" s="6"/>
    </row>
    <row r="390" spans="25:26" ht="26.25">
      <c r="Y390" s="6"/>
      <c r="Z390" s="6"/>
    </row>
    <row r="391" spans="25:26" ht="26.25">
      <c r="Y391" s="6"/>
      <c r="Z391" s="6"/>
    </row>
    <row r="392" spans="25:26" ht="26.25">
      <c r="Y392" s="6"/>
      <c r="Z392" s="6"/>
    </row>
    <row r="393" spans="25:26" ht="26.25">
      <c r="Y393" s="6"/>
      <c r="Z393" s="6"/>
    </row>
    <row r="394" spans="25:26" ht="26.25">
      <c r="Y394" s="6"/>
      <c r="Z394" s="6"/>
    </row>
    <row r="395" spans="25:26" ht="26.25">
      <c r="Y395" s="6"/>
      <c r="Z395" s="6"/>
    </row>
    <row r="396" spans="25:26" ht="26.25">
      <c r="Y396" s="6"/>
      <c r="Z396" s="6"/>
    </row>
    <row r="397" spans="25:26" ht="26.25">
      <c r="Y397" s="6"/>
      <c r="Z397" s="6"/>
    </row>
    <row r="398" spans="25:26" ht="26.25">
      <c r="Y398" s="6"/>
      <c r="Z398" s="6"/>
    </row>
    <row r="399" spans="25:26" ht="26.25">
      <c r="Y399" s="6"/>
      <c r="Z399" s="6"/>
    </row>
    <row r="400" spans="25:26" ht="26.25">
      <c r="Y400" s="6"/>
      <c r="Z400" s="6"/>
    </row>
    <row r="401" spans="25:26" ht="26.25">
      <c r="Y401" s="6"/>
      <c r="Z401" s="6"/>
    </row>
    <row r="402" spans="25:26" ht="26.25">
      <c r="Y402" s="6"/>
      <c r="Z402" s="6"/>
    </row>
    <row r="403" spans="25:26" ht="26.25">
      <c r="Y403" s="6"/>
      <c r="Z403" s="6"/>
    </row>
    <row r="404" spans="25:26" ht="26.25">
      <c r="Y404" s="6"/>
      <c r="Z404" s="6"/>
    </row>
    <row r="405" spans="25:26" ht="26.25">
      <c r="Y405" s="6"/>
      <c r="Z405" s="6"/>
    </row>
    <row r="406" spans="25:26" ht="26.25">
      <c r="Y406" s="6"/>
      <c r="Z406" s="6"/>
    </row>
    <row r="407" spans="25:26" ht="26.25">
      <c r="Y407" s="6"/>
      <c r="Z407" s="6"/>
    </row>
    <row r="408" spans="25:26" ht="26.25">
      <c r="Y408" s="6"/>
      <c r="Z408" s="6"/>
    </row>
    <row r="409" spans="25:26" ht="26.25">
      <c r="Y409" s="6"/>
      <c r="Z409" s="6"/>
    </row>
    <row r="410" spans="25:26" ht="26.25">
      <c r="Y410" s="6"/>
      <c r="Z410" s="6"/>
    </row>
    <row r="411" spans="25:26" ht="26.25">
      <c r="Y411" s="6"/>
      <c r="Z411" s="6"/>
    </row>
    <row r="412" spans="25:26" ht="26.25">
      <c r="Y412" s="6"/>
      <c r="Z412" s="6"/>
    </row>
    <row r="413" spans="25:26" ht="26.25">
      <c r="Y413" s="6"/>
      <c r="Z413" s="6"/>
    </row>
    <row r="414" spans="25:26" ht="26.25">
      <c r="Y414" s="6"/>
      <c r="Z414" s="6"/>
    </row>
    <row r="415" spans="25:26" ht="26.25">
      <c r="Y415" s="6"/>
      <c r="Z415" s="6"/>
    </row>
    <row r="416" spans="25:26" ht="26.25">
      <c r="Y416" s="6"/>
      <c r="Z416" s="6"/>
    </row>
    <row r="417" spans="25:26" ht="26.25">
      <c r="Y417" s="6"/>
      <c r="Z417" s="6"/>
    </row>
    <row r="418" spans="25:26" ht="26.25">
      <c r="Y418" s="6"/>
      <c r="Z418" s="6"/>
    </row>
    <row r="419" spans="25:26" ht="26.25">
      <c r="Y419" s="6"/>
      <c r="Z419" s="6"/>
    </row>
    <row r="420" spans="25:26" ht="26.25">
      <c r="Y420" s="6"/>
      <c r="Z420" s="6"/>
    </row>
    <row r="421" spans="25:26" ht="26.25">
      <c r="Y421" s="6"/>
      <c r="Z421" s="6"/>
    </row>
    <row r="422" spans="25:26" ht="26.25">
      <c r="Y422" s="6"/>
      <c r="Z422" s="6"/>
    </row>
    <row r="423" spans="25:26" ht="26.25">
      <c r="Y423" s="6"/>
      <c r="Z423" s="6"/>
    </row>
    <row r="424" spans="25:26" ht="26.25">
      <c r="Y424" s="6"/>
      <c r="Z424" s="6"/>
    </row>
    <row r="425" spans="25:26" ht="26.25">
      <c r="Y425" s="6"/>
      <c r="Z425" s="6"/>
    </row>
    <row r="426" spans="25:26" ht="26.25">
      <c r="Y426" s="6"/>
      <c r="Z426" s="6"/>
    </row>
    <row r="427" spans="25:26" ht="26.25">
      <c r="Y427" s="6"/>
      <c r="Z427" s="6"/>
    </row>
    <row r="428" spans="25:26" ht="26.25">
      <c r="Y428" s="6"/>
      <c r="Z428" s="6"/>
    </row>
    <row r="429" spans="25:26" ht="26.25">
      <c r="Y429" s="6"/>
      <c r="Z429" s="6"/>
    </row>
    <row r="430" spans="25:26" ht="26.25">
      <c r="Y430" s="6"/>
      <c r="Z430" s="6"/>
    </row>
    <row r="431" spans="25:26" ht="26.25">
      <c r="Y431" s="6"/>
      <c r="Z431" s="6"/>
    </row>
    <row r="432" spans="25:26" ht="26.25">
      <c r="Y432" s="6"/>
      <c r="Z432" s="6"/>
    </row>
    <row r="433" spans="25:26" ht="26.25">
      <c r="Y433" s="6"/>
      <c r="Z433" s="6"/>
    </row>
    <row r="434" spans="25:26" ht="26.25">
      <c r="Y434" s="6"/>
      <c r="Z434" s="6"/>
    </row>
    <row r="435" spans="25:26" ht="26.25">
      <c r="Y435" s="6"/>
      <c r="Z435" s="6"/>
    </row>
    <row r="436" spans="25:26" ht="26.25">
      <c r="Y436" s="6"/>
      <c r="Z436" s="6"/>
    </row>
    <row r="437" spans="25:26" ht="26.25">
      <c r="Y437" s="6"/>
      <c r="Z437" s="6"/>
    </row>
    <row r="438" spans="25:26" ht="26.25">
      <c r="Y438" s="6"/>
      <c r="Z438" s="6"/>
    </row>
    <row r="439" spans="25:26" ht="26.25">
      <c r="Y439" s="6"/>
      <c r="Z439" s="6"/>
    </row>
    <row r="440" spans="25:26" ht="26.25">
      <c r="Y440" s="6"/>
      <c r="Z440" s="6"/>
    </row>
    <row r="441" spans="25:26" ht="26.25">
      <c r="Y441" s="6"/>
      <c r="Z441" s="6"/>
    </row>
    <row r="442" spans="25:26" ht="26.25">
      <c r="Y442" s="6"/>
      <c r="Z442" s="6"/>
    </row>
    <row r="443" spans="25:26" ht="26.25">
      <c r="Y443" s="6"/>
      <c r="Z443" s="6"/>
    </row>
    <row r="444" spans="25:26" ht="26.25">
      <c r="Y444" s="6"/>
      <c r="Z444" s="6"/>
    </row>
    <row r="445" spans="25:26" ht="26.25">
      <c r="Y445" s="6"/>
      <c r="Z445" s="6"/>
    </row>
    <row r="446" spans="25:26" ht="26.25">
      <c r="Y446" s="6"/>
      <c r="Z446" s="6"/>
    </row>
    <row r="447" spans="25:26" ht="26.25">
      <c r="Y447" s="6"/>
      <c r="Z447" s="6"/>
    </row>
    <row r="448" spans="25:26" ht="26.25">
      <c r="Y448" s="6"/>
      <c r="Z448" s="6"/>
    </row>
    <row r="449" spans="25:26" ht="26.25">
      <c r="Y449" s="6"/>
      <c r="Z449" s="6"/>
    </row>
    <row r="450" spans="25:26" ht="26.25">
      <c r="Y450" s="6"/>
      <c r="Z450" s="6"/>
    </row>
    <row r="451" spans="25:26" ht="26.25">
      <c r="Y451" s="6"/>
      <c r="Z451" s="6"/>
    </row>
    <row r="452" spans="25:26" ht="26.25">
      <c r="Y452" s="6"/>
      <c r="Z452" s="6"/>
    </row>
    <row r="453" spans="25:26" ht="26.25">
      <c r="Y453" s="6"/>
      <c r="Z453" s="6"/>
    </row>
    <row r="454" spans="25:26" ht="26.25">
      <c r="Y454" s="6"/>
      <c r="Z454" s="6"/>
    </row>
    <row r="455" spans="25:26" ht="26.25">
      <c r="Y455" s="6"/>
      <c r="Z455" s="6"/>
    </row>
    <row r="456" spans="25:26" ht="26.25">
      <c r="Y456" s="6"/>
      <c r="Z456" s="6"/>
    </row>
    <row r="457" spans="25:26" ht="26.25">
      <c r="Y457" s="6"/>
      <c r="Z457" s="6"/>
    </row>
    <row r="458" spans="25:26" ht="26.25">
      <c r="Y458" s="6"/>
      <c r="Z458" s="6"/>
    </row>
    <row r="459" spans="25:26" ht="26.25">
      <c r="Y459" s="6"/>
      <c r="Z459" s="6"/>
    </row>
    <row r="460" spans="25:26" ht="26.25">
      <c r="Y460" s="6"/>
      <c r="Z460" s="6"/>
    </row>
    <row r="461" spans="25:26" ht="26.25">
      <c r="Y461" s="6"/>
      <c r="Z461" s="6"/>
    </row>
    <row r="462" spans="25:26" ht="26.25">
      <c r="Y462" s="6"/>
      <c r="Z462" s="6"/>
    </row>
    <row r="463" spans="25:26" ht="26.25">
      <c r="Y463" s="6"/>
      <c r="Z463" s="6"/>
    </row>
    <row r="464" spans="25:26" ht="26.25">
      <c r="Y464" s="6"/>
      <c r="Z464" s="6"/>
    </row>
    <row r="465" spans="25:26" ht="26.25">
      <c r="Y465" s="6"/>
      <c r="Z465" s="6"/>
    </row>
    <row r="466" spans="25:26" ht="26.25">
      <c r="Y466" s="6"/>
      <c r="Z466" s="6"/>
    </row>
    <row r="467" spans="25:26" ht="26.25">
      <c r="Y467" s="6"/>
      <c r="Z467" s="6"/>
    </row>
    <row r="468" spans="25:26" ht="26.25">
      <c r="Y468" s="6"/>
      <c r="Z468" s="6"/>
    </row>
    <row r="469" spans="25:26" ht="26.25">
      <c r="Y469" s="6"/>
      <c r="Z469" s="6"/>
    </row>
    <row r="470" spans="25:26" ht="26.25">
      <c r="Y470" s="6"/>
      <c r="Z470" s="6"/>
    </row>
    <row r="471" spans="25:26" ht="26.25">
      <c r="Y471" s="6"/>
      <c r="Z471" s="6"/>
    </row>
    <row r="472" spans="25:26" ht="26.25">
      <c r="Y472" s="6"/>
      <c r="Z472" s="6"/>
    </row>
    <row r="473" spans="25:26" ht="26.25">
      <c r="Y473" s="6"/>
      <c r="Z473" s="6"/>
    </row>
    <row r="474" spans="25:26" ht="26.25">
      <c r="Y474" s="6"/>
      <c r="Z474" s="6"/>
    </row>
    <row r="475" spans="25:26" ht="26.25">
      <c r="Y475" s="6"/>
      <c r="Z475" s="6"/>
    </row>
    <row r="476" spans="25:26" ht="26.25">
      <c r="Y476" s="6"/>
      <c r="Z476" s="6"/>
    </row>
    <row r="477" spans="25:26" ht="26.25">
      <c r="Y477" s="6"/>
      <c r="Z477" s="6"/>
    </row>
    <row r="478" spans="25:26" ht="26.25">
      <c r="Y478" s="6"/>
      <c r="Z478" s="6"/>
    </row>
    <row r="479" spans="25:26" ht="26.25">
      <c r="Y479" s="6"/>
      <c r="Z479" s="6"/>
    </row>
    <row r="480" spans="25:26" ht="26.25">
      <c r="Y480" s="6"/>
      <c r="Z480" s="6"/>
    </row>
    <row r="481" spans="25:26" ht="26.25">
      <c r="Y481" s="6"/>
      <c r="Z481" s="6"/>
    </row>
    <row r="482" spans="25:26" ht="26.25">
      <c r="Y482" s="6"/>
      <c r="Z482" s="6"/>
    </row>
    <row r="483" spans="25:26" ht="26.25">
      <c r="Y483" s="6"/>
      <c r="Z483" s="6"/>
    </row>
    <row r="484" spans="25:26" ht="26.25">
      <c r="Y484" s="6"/>
      <c r="Z484" s="6"/>
    </row>
    <row r="485" spans="25:26" ht="26.25">
      <c r="Y485" s="6"/>
      <c r="Z485" s="6"/>
    </row>
    <row r="486" spans="25:26" ht="26.25">
      <c r="Y486" s="6"/>
      <c r="Z486" s="6"/>
    </row>
    <row r="487" spans="25:26" ht="26.25">
      <c r="Y487" s="6"/>
      <c r="Z487" s="6"/>
    </row>
    <row r="488" spans="25:26" ht="26.25">
      <c r="Y488" s="6"/>
      <c r="Z488" s="6"/>
    </row>
    <row r="489" spans="25:26" ht="26.25">
      <c r="Y489" s="6"/>
      <c r="Z489" s="6"/>
    </row>
    <row r="490" spans="25:26" ht="26.25">
      <c r="Y490" s="6"/>
      <c r="Z490" s="6"/>
    </row>
    <row r="491" spans="25:26" ht="26.25">
      <c r="Y491" s="6"/>
      <c r="Z491" s="6"/>
    </row>
    <row r="492" spans="25:26" ht="26.25">
      <c r="Y492" s="6"/>
      <c r="Z492" s="6"/>
    </row>
    <row r="493" spans="25:26" ht="26.25">
      <c r="Y493" s="6"/>
      <c r="Z493" s="6"/>
    </row>
    <row r="494" spans="25:26" ht="26.25">
      <c r="Y494" s="6"/>
      <c r="Z494" s="6"/>
    </row>
    <row r="495" spans="25:26" ht="26.25">
      <c r="Y495" s="6"/>
      <c r="Z495" s="6"/>
    </row>
    <row r="496" spans="25:26" ht="26.25">
      <c r="Y496" s="6"/>
      <c r="Z496" s="6"/>
    </row>
    <row r="497" spans="25:26" ht="26.25">
      <c r="Y497" s="6"/>
      <c r="Z497" s="6"/>
    </row>
    <row r="498" spans="25:26" ht="26.25">
      <c r="Y498" s="6"/>
      <c r="Z498" s="6"/>
    </row>
    <row r="499" spans="25:26" ht="26.25">
      <c r="Y499" s="6"/>
      <c r="Z499" s="6"/>
    </row>
    <row r="500" spans="25:26" ht="26.25">
      <c r="Y500" s="6"/>
      <c r="Z500" s="6"/>
    </row>
    <row r="501" spans="25:26" ht="26.25">
      <c r="Y501" s="6"/>
      <c r="Z501" s="6"/>
    </row>
    <row r="502" spans="25:26" ht="26.25">
      <c r="Y502" s="6"/>
      <c r="Z502" s="6"/>
    </row>
    <row r="503" spans="25:26" ht="26.25">
      <c r="Y503" s="6"/>
      <c r="Z503" s="6"/>
    </row>
    <row r="504" spans="25:26" ht="26.25">
      <c r="Y504" s="6"/>
      <c r="Z504" s="6"/>
    </row>
    <row r="505" spans="25:26" ht="26.25">
      <c r="Y505" s="6"/>
      <c r="Z505" s="6"/>
    </row>
  </sheetData>
  <sheetProtection/>
  <mergeCells count="17">
    <mergeCell ref="A1:AP1"/>
    <mergeCell ref="A2:AP2"/>
    <mergeCell ref="A4:A5"/>
    <mergeCell ref="B4:B5"/>
    <mergeCell ref="C4:C5"/>
    <mergeCell ref="D4:I4"/>
    <mergeCell ref="K4:P4"/>
    <mergeCell ref="R4:W4"/>
    <mergeCell ref="Y4:AE4"/>
    <mergeCell ref="AF4:AL4"/>
    <mergeCell ref="BA49:BE49"/>
    <mergeCell ref="AM4:AS4"/>
    <mergeCell ref="AT4:AZ4"/>
    <mergeCell ref="B49:E49"/>
    <mergeCell ref="U49:V49"/>
    <mergeCell ref="AT49:AW49"/>
    <mergeCell ref="AY49:AZ49"/>
  </mergeCells>
  <printOptions/>
  <pageMargins left="0" right="0" top="0" bottom="0" header="0.1968503937007874" footer="0.2755905511811024"/>
  <pageSetup fitToHeight="1" fitToWidth="1" horizontalDpi="600" verticalDpi="600" orientation="landscape" paperSize="9" scale="1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M505"/>
  <sheetViews>
    <sheetView view="pageBreakPreview" zoomScale="50" zoomScaleSheetLayoutView="50" zoomScalePageLayoutView="0" workbookViewId="0" topLeftCell="A1">
      <pane xSplit="2" ySplit="6" topLeftCell="AL3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O40" sqref="AO40"/>
    </sheetView>
  </sheetViews>
  <sheetFormatPr defaultColWidth="9.00390625" defaultRowHeight="12.75"/>
  <cols>
    <col min="1" max="1" width="11.125" style="5" customWidth="1"/>
    <col min="2" max="2" width="74.00390625" style="5" customWidth="1"/>
    <col min="3" max="3" width="11.125" style="5" customWidth="1"/>
    <col min="4" max="4" width="22.875" style="6" customWidth="1"/>
    <col min="5" max="6" width="22.125" style="92" customWidth="1"/>
    <col min="7" max="7" width="19.75390625" style="92" customWidth="1"/>
    <col min="8" max="10" width="19.625" style="92" customWidth="1"/>
    <col min="11" max="11" width="21.75390625" style="6" customWidth="1"/>
    <col min="12" max="12" width="20.375" style="6" customWidth="1"/>
    <col min="13" max="13" width="16.625" style="6" customWidth="1"/>
    <col min="14" max="14" width="19.75390625" style="6" customWidth="1"/>
    <col min="15" max="15" width="18.00390625" style="6" customWidth="1"/>
    <col min="16" max="16" width="20.25390625" style="6" customWidth="1"/>
    <col min="17" max="17" width="20.00390625" style="6" customWidth="1"/>
    <col min="18" max="18" width="25.625" style="6" customWidth="1"/>
    <col min="19" max="19" width="23.625" style="6" customWidth="1"/>
    <col min="20" max="20" width="24.00390625" style="6" customWidth="1"/>
    <col min="21" max="21" width="25.625" style="6" customWidth="1"/>
    <col min="22" max="22" width="23.00390625" style="6" customWidth="1"/>
    <col min="23" max="23" width="26.625" style="6" customWidth="1"/>
    <col min="24" max="24" width="23.125" style="6" customWidth="1"/>
    <col min="25" max="25" width="21.625" style="95" customWidth="1"/>
    <col min="26" max="26" width="27.25390625" style="92" customWidth="1"/>
    <col min="27" max="27" width="21.625" style="92" customWidth="1"/>
    <col min="28" max="28" width="20.125" style="92" customWidth="1"/>
    <col min="29" max="29" width="20.375" style="92" customWidth="1"/>
    <col min="30" max="30" width="20.875" style="92" customWidth="1"/>
    <col min="31" max="31" width="21.75390625" style="92" customWidth="1"/>
    <col min="32" max="32" width="17.375" style="6" customWidth="1"/>
    <col min="33" max="33" width="17.75390625" style="6" customWidth="1"/>
    <col min="34" max="34" width="17.875" style="6" customWidth="1"/>
    <col min="35" max="35" width="17.00390625" style="6" customWidth="1"/>
    <col min="36" max="36" width="16.125" style="6" customWidth="1"/>
    <col min="37" max="37" width="17.25390625" style="6" customWidth="1"/>
    <col min="38" max="38" width="19.625" style="6" customWidth="1"/>
    <col min="39" max="39" width="26.875" style="6" customWidth="1"/>
    <col min="40" max="40" width="24.375" style="6" customWidth="1"/>
    <col min="41" max="41" width="25.375" style="6" customWidth="1"/>
    <col min="42" max="42" width="25.625" style="6" customWidth="1"/>
    <col min="43" max="43" width="25.00390625" style="6" customWidth="1"/>
    <col min="44" max="45" width="26.25390625" style="6" customWidth="1"/>
    <col min="46" max="46" width="25.625" style="93" hidden="1" customWidth="1"/>
    <col min="47" max="48" width="23.875" style="6" hidden="1" customWidth="1"/>
    <col min="49" max="49" width="26.125" style="6" hidden="1" customWidth="1"/>
    <col min="50" max="50" width="23.875" style="6" hidden="1" customWidth="1"/>
    <col min="51" max="52" width="25.375" style="6" hidden="1" customWidth="1"/>
    <col min="53" max="65" width="9.125" style="4" customWidth="1"/>
    <col min="66" max="16384" width="9.125" style="5" customWidth="1"/>
  </cols>
  <sheetData>
    <row r="1" spans="1:52" ht="36" customHeight="1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1"/>
      <c r="AR1" s="1"/>
      <c r="AS1" s="1"/>
      <c r="AT1" s="2"/>
      <c r="AU1" s="3"/>
      <c r="AV1" s="3"/>
      <c r="AW1" s="3"/>
      <c r="AX1" s="3"/>
      <c r="AY1" s="3"/>
      <c r="AZ1" s="3"/>
    </row>
    <row r="2" spans="1:52" ht="30" customHeight="1">
      <c r="A2" s="215" t="s">
        <v>59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1"/>
      <c r="AR2" s="1"/>
      <c r="AS2" s="1"/>
      <c r="AT2" s="2"/>
      <c r="AU2" s="3"/>
      <c r="AV2" s="3"/>
      <c r="AW2" s="3"/>
      <c r="AX2" s="3"/>
      <c r="AY2" s="3"/>
      <c r="AZ2" s="3"/>
    </row>
    <row r="3" spans="1:46" ht="11.25" customHeight="1" thickBot="1">
      <c r="A3" s="1"/>
      <c r="B3" s="1"/>
      <c r="D3" s="3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2"/>
    </row>
    <row r="4" spans="1:65" s="8" customFormat="1" ht="30.75" customHeight="1">
      <c r="A4" s="216"/>
      <c r="B4" s="218" t="s">
        <v>7</v>
      </c>
      <c r="C4" s="218"/>
      <c r="D4" s="209" t="s">
        <v>30</v>
      </c>
      <c r="E4" s="210"/>
      <c r="F4" s="210"/>
      <c r="G4" s="210"/>
      <c r="H4" s="210"/>
      <c r="I4" s="220"/>
      <c r="J4" s="111"/>
      <c r="K4" s="209" t="s">
        <v>11</v>
      </c>
      <c r="L4" s="210"/>
      <c r="M4" s="210"/>
      <c r="N4" s="210"/>
      <c r="O4" s="210"/>
      <c r="P4" s="220"/>
      <c r="Q4" s="111"/>
      <c r="R4" s="209" t="s">
        <v>31</v>
      </c>
      <c r="S4" s="210"/>
      <c r="T4" s="210"/>
      <c r="U4" s="210"/>
      <c r="V4" s="210"/>
      <c r="W4" s="220"/>
      <c r="X4" s="111"/>
      <c r="Y4" s="209" t="s">
        <v>8</v>
      </c>
      <c r="Z4" s="210"/>
      <c r="AA4" s="210"/>
      <c r="AB4" s="210"/>
      <c r="AC4" s="210"/>
      <c r="AD4" s="210"/>
      <c r="AE4" s="220"/>
      <c r="AF4" s="221" t="s">
        <v>10</v>
      </c>
      <c r="AG4" s="222"/>
      <c r="AH4" s="222"/>
      <c r="AI4" s="222"/>
      <c r="AJ4" s="222"/>
      <c r="AK4" s="222"/>
      <c r="AL4" s="223"/>
      <c r="AM4" s="209" t="s">
        <v>32</v>
      </c>
      <c r="AN4" s="210"/>
      <c r="AO4" s="210"/>
      <c r="AP4" s="210"/>
      <c r="AQ4" s="210"/>
      <c r="AR4" s="210"/>
      <c r="AS4" s="210"/>
      <c r="AT4" s="211" t="s">
        <v>33</v>
      </c>
      <c r="AU4" s="210"/>
      <c r="AV4" s="210"/>
      <c r="AW4" s="210"/>
      <c r="AX4" s="210"/>
      <c r="AY4" s="210"/>
      <c r="AZ4" s="212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52" ht="50.25" customHeight="1">
      <c r="A5" s="217"/>
      <c r="B5" s="219"/>
      <c r="C5" s="219"/>
      <c r="D5" s="11" t="s">
        <v>6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12" t="s">
        <v>36</v>
      </c>
      <c r="K5" s="11" t="s">
        <v>6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36</v>
      </c>
      <c r="R5" s="11" t="s">
        <v>6</v>
      </c>
      <c r="S5" s="12" t="s">
        <v>12</v>
      </c>
      <c r="T5" s="12" t="s">
        <v>13</v>
      </c>
      <c r="U5" s="12" t="s">
        <v>14</v>
      </c>
      <c r="V5" s="12" t="s">
        <v>15</v>
      </c>
      <c r="W5" s="12" t="s">
        <v>16</v>
      </c>
      <c r="X5" s="12" t="s">
        <v>36</v>
      </c>
      <c r="Y5" s="11" t="s">
        <v>6</v>
      </c>
      <c r="Z5" s="12" t="s">
        <v>12</v>
      </c>
      <c r="AA5" s="12" t="s">
        <v>13</v>
      </c>
      <c r="AB5" s="12" t="s">
        <v>14</v>
      </c>
      <c r="AC5" s="12" t="s">
        <v>15</v>
      </c>
      <c r="AD5" s="12" t="s">
        <v>16</v>
      </c>
      <c r="AE5" s="12" t="s">
        <v>36</v>
      </c>
      <c r="AF5" s="11" t="s">
        <v>6</v>
      </c>
      <c r="AG5" s="12" t="s">
        <v>12</v>
      </c>
      <c r="AH5" s="12" t="s">
        <v>13</v>
      </c>
      <c r="AI5" s="12" t="s">
        <v>14</v>
      </c>
      <c r="AJ5" s="12" t="s">
        <v>15</v>
      </c>
      <c r="AK5" s="12" t="s">
        <v>16</v>
      </c>
      <c r="AL5" s="12" t="s">
        <v>36</v>
      </c>
      <c r="AM5" s="14" t="s">
        <v>6</v>
      </c>
      <c r="AN5" s="12" t="s">
        <v>12</v>
      </c>
      <c r="AO5" s="12" t="s">
        <v>13</v>
      </c>
      <c r="AP5" s="12" t="s">
        <v>14</v>
      </c>
      <c r="AQ5" s="12" t="s">
        <v>15</v>
      </c>
      <c r="AR5" s="12" t="s">
        <v>16</v>
      </c>
      <c r="AS5" s="112" t="s">
        <v>36</v>
      </c>
      <c r="AT5" s="114" t="s">
        <v>6</v>
      </c>
      <c r="AU5" s="16" t="s">
        <v>12</v>
      </c>
      <c r="AV5" s="16" t="s">
        <v>13</v>
      </c>
      <c r="AW5" s="16" t="s">
        <v>14</v>
      </c>
      <c r="AX5" s="16" t="s">
        <v>15</v>
      </c>
      <c r="AY5" s="16" t="s">
        <v>16</v>
      </c>
      <c r="AZ5" s="110" t="s">
        <v>36</v>
      </c>
    </row>
    <row r="6" spans="1:65" s="22" customFormat="1" ht="25.5" customHeight="1" thickBot="1">
      <c r="A6" s="17"/>
      <c r="B6" s="18">
        <v>2</v>
      </c>
      <c r="C6" s="18"/>
      <c r="D6" s="19">
        <v>3</v>
      </c>
      <c r="E6" s="18"/>
      <c r="F6" s="18"/>
      <c r="G6" s="18"/>
      <c r="H6" s="18"/>
      <c r="I6" s="18"/>
      <c r="J6" s="18"/>
      <c r="K6" s="19">
        <v>4</v>
      </c>
      <c r="L6" s="20"/>
      <c r="M6" s="20"/>
      <c r="N6" s="20"/>
      <c r="O6" s="20"/>
      <c r="P6" s="20"/>
      <c r="Q6" s="20"/>
      <c r="R6" s="19">
        <v>5</v>
      </c>
      <c r="S6" s="20"/>
      <c r="T6" s="20"/>
      <c r="U6" s="20"/>
      <c r="V6" s="20"/>
      <c r="W6" s="20"/>
      <c r="X6" s="20"/>
      <c r="Y6" s="19">
        <v>6</v>
      </c>
      <c r="Z6" s="18"/>
      <c r="AA6" s="18"/>
      <c r="AB6" s="18"/>
      <c r="AC6" s="18"/>
      <c r="AD6" s="18"/>
      <c r="AE6" s="18"/>
      <c r="AF6" s="19">
        <v>7</v>
      </c>
      <c r="AG6" s="20"/>
      <c r="AH6" s="20"/>
      <c r="AI6" s="20"/>
      <c r="AJ6" s="20"/>
      <c r="AK6" s="20"/>
      <c r="AL6" s="20"/>
      <c r="AM6" s="19">
        <v>8</v>
      </c>
      <c r="AN6" s="20"/>
      <c r="AO6" s="20"/>
      <c r="AP6" s="20"/>
      <c r="AQ6" s="20"/>
      <c r="AR6" s="20"/>
      <c r="AS6" s="113"/>
      <c r="AT6" s="115">
        <v>9</v>
      </c>
      <c r="AU6" s="116"/>
      <c r="AV6" s="116"/>
      <c r="AW6" s="116"/>
      <c r="AX6" s="116"/>
      <c r="AY6" s="116"/>
      <c r="AZ6" s="117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</row>
    <row r="7" spans="1:65" s="29" customFormat="1" ht="43.5" customHeight="1" thickBot="1">
      <c r="A7" s="23">
        <v>1</v>
      </c>
      <c r="B7" s="24" t="s">
        <v>2</v>
      </c>
      <c r="C7" s="24" t="s">
        <v>4</v>
      </c>
      <c r="D7" s="181">
        <f aca="true" t="shared" si="0" ref="D7:J7">SUM(D8:D18)</f>
        <v>10502.18578</v>
      </c>
      <c r="E7" s="25">
        <f t="shared" si="0"/>
        <v>850.4559</v>
      </c>
      <c r="F7" s="25">
        <f t="shared" si="0"/>
        <v>4803.669379999999</v>
      </c>
      <c r="G7" s="25">
        <f t="shared" si="0"/>
        <v>1900.4395000000002</v>
      </c>
      <c r="H7" s="25">
        <f t="shared" si="0"/>
        <v>1573.9192</v>
      </c>
      <c r="I7" s="25">
        <f t="shared" si="0"/>
        <v>1078.8827999999999</v>
      </c>
      <c r="J7" s="25">
        <f t="shared" si="0"/>
        <v>294.81899999999996</v>
      </c>
      <c r="K7" s="27">
        <f aca="true" t="shared" si="1" ref="K7:P7">R7/D7</f>
        <v>1304.886659508322</v>
      </c>
      <c r="L7" s="27">
        <f t="shared" si="1"/>
        <v>1310.1339998934689</v>
      </c>
      <c r="M7" s="27">
        <f t="shared" si="1"/>
        <v>1306.6291273359868</v>
      </c>
      <c r="N7" s="27">
        <f t="shared" si="1"/>
        <v>1306.625730521808</v>
      </c>
      <c r="O7" s="27">
        <f t="shared" si="1"/>
        <v>1306.6257975631786</v>
      </c>
      <c r="P7" s="27">
        <f t="shared" si="1"/>
        <v>1306.6266790053564</v>
      </c>
      <c r="Q7" s="27">
        <f>Y7/J7</f>
        <v>35.65291290201307</v>
      </c>
      <c r="R7" s="27">
        <f aca="true" t="shared" si="2" ref="R7:AE7">SUM(R8:R18)</f>
        <v>13704162.120000001</v>
      </c>
      <c r="S7" s="27">
        <f t="shared" si="2"/>
        <v>1114211.19</v>
      </c>
      <c r="T7" s="27">
        <f t="shared" si="2"/>
        <v>6276614.33</v>
      </c>
      <c r="U7" s="27">
        <f t="shared" si="2"/>
        <v>2483163.15</v>
      </c>
      <c r="V7" s="27">
        <f t="shared" si="2"/>
        <v>2056523.43</v>
      </c>
      <c r="W7" s="27">
        <f t="shared" si="2"/>
        <v>1409697.05</v>
      </c>
      <c r="X7" s="27">
        <f t="shared" si="2"/>
        <v>363952.97</v>
      </c>
      <c r="Y7" s="59">
        <f t="shared" si="2"/>
        <v>10511.15612885859</v>
      </c>
      <c r="Z7" s="59">
        <f t="shared" si="2"/>
        <v>848.8708240245726</v>
      </c>
      <c r="AA7" s="59">
        <f t="shared" si="2"/>
        <v>4808.322424863963</v>
      </c>
      <c r="AB7" s="59">
        <f t="shared" si="2"/>
        <v>1901.6428063032379</v>
      </c>
      <c r="AC7" s="59">
        <f t="shared" si="2"/>
        <v>1574.7927875527118</v>
      </c>
      <c r="AD7" s="59">
        <f t="shared" si="2"/>
        <v>1078.883172742092</v>
      </c>
      <c r="AE7" s="59">
        <f t="shared" si="2"/>
        <v>298.6441133720126</v>
      </c>
      <c r="AF7" s="28">
        <f>AM7/Y7</f>
        <v>1304.877568352645</v>
      </c>
      <c r="AG7" s="101">
        <f>AN7/Z7</f>
        <v>1309.9819177762322</v>
      </c>
      <c r="AH7" s="101">
        <f>AH10</f>
        <v>1306.63</v>
      </c>
      <c r="AI7" s="101">
        <f>AI9</f>
        <v>1306.63</v>
      </c>
      <c r="AJ7" s="101">
        <f>AJ12</f>
        <v>1306.63</v>
      </c>
      <c r="AK7" s="27">
        <f>AK12</f>
        <v>1306.63</v>
      </c>
      <c r="AL7" s="27">
        <f>AS7/AE7</f>
        <v>1235.4234136214397</v>
      </c>
      <c r="AM7" s="27">
        <f aca="true" t="shared" si="3" ref="AM7:AZ7">SUM(AM8:AM18)</f>
        <v>13715771.85</v>
      </c>
      <c r="AN7" s="27">
        <f t="shared" si="3"/>
        <v>1112005.4300000002</v>
      </c>
      <c r="AO7" s="27">
        <f t="shared" si="3"/>
        <v>6282698.33</v>
      </c>
      <c r="AP7" s="27">
        <f t="shared" si="3"/>
        <v>2484743.54</v>
      </c>
      <c r="AQ7" s="27">
        <f t="shared" si="3"/>
        <v>2057671.5</v>
      </c>
      <c r="AR7" s="27">
        <f t="shared" si="3"/>
        <v>1409701.1199999999</v>
      </c>
      <c r="AS7" s="27">
        <f t="shared" si="3"/>
        <v>368951.93000000005</v>
      </c>
      <c r="AT7" s="118">
        <f t="shared" si="3"/>
        <v>0</v>
      </c>
      <c r="AU7" s="27">
        <f t="shared" si="3"/>
        <v>0</v>
      </c>
      <c r="AV7" s="27">
        <f t="shared" si="3"/>
        <v>0</v>
      </c>
      <c r="AW7" s="27">
        <f t="shared" si="3"/>
        <v>0</v>
      </c>
      <c r="AX7" s="27">
        <f t="shared" si="3"/>
        <v>0</v>
      </c>
      <c r="AY7" s="27">
        <f t="shared" si="3"/>
        <v>0</v>
      </c>
      <c r="AZ7" s="27">
        <f t="shared" si="3"/>
        <v>0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</row>
    <row r="8" spans="1:52" ht="53.25" customHeight="1">
      <c r="A8" s="38"/>
      <c r="B8" s="47" t="s">
        <v>20</v>
      </c>
      <c r="C8" s="48"/>
      <c r="D8" s="49">
        <f aca="true" t="shared" si="4" ref="D8:D16">SUM(E8:I8)</f>
        <v>34.249</v>
      </c>
      <c r="E8" s="45">
        <v>34.249</v>
      </c>
      <c r="F8" s="45"/>
      <c r="G8" s="45"/>
      <c r="H8" s="45"/>
      <c r="I8" s="45"/>
      <c r="J8" s="45"/>
      <c r="K8" s="14">
        <f aca="true" t="shared" si="5" ref="K8:K22">R8/D8</f>
        <v>1393.7399632106044</v>
      </c>
      <c r="L8" s="13">
        <v>1393.74</v>
      </c>
      <c r="M8" s="13"/>
      <c r="N8" s="13"/>
      <c r="O8" s="13"/>
      <c r="P8" s="13"/>
      <c r="Q8" s="37"/>
      <c r="R8" s="15">
        <f aca="true" t="shared" si="6" ref="R8:R16">SUM(S8:W8)</f>
        <v>47734.2</v>
      </c>
      <c r="S8" s="50">
        <v>47734.2</v>
      </c>
      <c r="T8" s="50"/>
      <c r="U8" s="50"/>
      <c r="V8" s="50"/>
      <c r="W8" s="50"/>
      <c r="X8" s="13"/>
      <c r="Y8" s="67">
        <f aca="true" t="shared" si="7" ref="Y8:Y16">SUM(Z8:AD8)</f>
        <v>32.66381821573608</v>
      </c>
      <c r="Z8" s="97">
        <f>AN8/AG8</f>
        <v>32.66381821573608</v>
      </c>
      <c r="AA8" s="97"/>
      <c r="AB8" s="97"/>
      <c r="AC8" s="97"/>
      <c r="AD8" s="97"/>
      <c r="AE8" s="97"/>
      <c r="AF8" s="14">
        <f>AG8</f>
        <v>1393.74</v>
      </c>
      <c r="AG8" s="13">
        <v>1393.74</v>
      </c>
      <c r="AH8" s="13"/>
      <c r="AI8" s="13"/>
      <c r="AJ8" s="13"/>
      <c r="AK8" s="13"/>
      <c r="AL8" s="37"/>
      <c r="AM8" s="15">
        <f aca="true" t="shared" si="8" ref="AM8:AM16">SUM(AN8:AR8)</f>
        <v>45524.87</v>
      </c>
      <c r="AN8" s="50">
        <v>45524.87</v>
      </c>
      <c r="AO8" s="50"/>
      <c r="AP8" s="50"/>
      <c r="AQ8" s="50"/>
      <c r="AR8" s="50"/>
      <c r="AS8" s="13"/>
      <c r="AT8" s="15">
        <f aca="true" t="shared" si="9" ref="AT8:AT16">SUM(AU8:AY8)</f>
        <v>0</v>
      </c>
      <c r="AU8" s="37">
        <f>(L8-AG8)*E8</f>
        <v>0</v>
      </c>
      <c r="AV8" s="37"/>
      <c r="AW8" s="37"/>
      <c r="AX8" s="37"/>
      <c r="AY8" s="37"/>
      <c r="AZ8" s="13"/>
    </row>
    <row r="9" spans="1:52" ht="53.25" customHeight="1">
      <c r="A9" s="38"/>
      <c r="B9" s="47" t="s">
        <v>21</v>
      </c>
      <c r="C9" s="48"/>
      <c r="D9" s="51">
        <f t="shared" si="4"/>
        <v>57.189</v>
      </c>
      <c r="E9" s="45"/>
      <c r="F9" s="45"/>
      <c r="G9" s="52">
        <v>57.189</v>
      </c>
      <c r="H9" s="45"/>
      <c r="I9" s="45"/>
      <c r="J9" s="45"/>
      <c r="K9" s="14">
        <f t="shared" si="5"/>
        <v>1306.629946318348</v>
      </c>
      <c r="L9" s="13"/>
      <c r="M9" s="13"/>
      <c r="N9" s="13">
        <v>1306.63</v>
      </c>
      <c r="O9" s="13"/>
      <c r="P9" s="13"/>
      <c r="Q9" s="37"/>
      <c r="R9" s="15">
        <f t="shared" si="6"/>
        <v>74724.86</v>
      </c>
      <c r="S9" s="50"/>
      <c r="T9" s="50"/>
      <c r="U9" s="50">
        <v>74724.86</v>
      </c>
      <c r="V9" s="50"/>
      <c r="W9" s="50"/>
      <c r="X9" s="13"/>
      <c r="Y9" s="67">
        <f t="shared" si="7"/>
        <v>57.188132830257985</v>
      </c>
      <c r="Z9" s="97"/>
      <c r="AA9" s="97"/>
      <c r="AB9" s="97">
        <f>AP9/AI9</f>
        <v>57.188132830257985</v>
      </c>
      <c r="AC9" s="97"/>
      <c r="AD9" s="97"/>
      <c r="AE9" s="97"/>
      <c r="AF9" s="14">
        <f>AI9</f>
        <v>1306.63</v>
      </c>
      <c r="AG9" s="13"/>
      <c r="AH9" s="13"/>
      <c r="AI9" s="13">
        <v>1306.63</v>
      </c>
      <c r="AJ9" s="13"/>
      <c r="AK9" s="13"/>
      <c r="AL9" s="37"/>
      <c r="AM9" s="15">
        <f t="shared" si="8"/>
        <v>74723.73</v>
      </c>
      <c r="AN9" s="50"/>
      <c r="AO9" s="50"/>
      <c r="AP9" s="50">
        <v>74723.73</v>
      </c>
      <c r="AQ9" s="50"/>
      <c r="AR9" s="50"/>
      <c r="AS9" s="13"/>
      <c r="AT9" s="15">
        <f t="shared" si="9"/>
        <v>0</v>
      </c>
      <c r="AU9" s="37"/>
      <c r="AV9" s="37"/>
      <c r="AW9" s="37">
        <f>(N9-AI9)*G9</f>
        <v>0</v>
      </c>
      <c r="AX9" s="37"/>
      <c r="AY9" s="37"/>
      <c r="AZ9" s="13"/>
    </row>
    <row r="10" spans="1:52" ht="54.75" customHeight="1">
      <c r="A10" s="40"/>
      <c r="B10" s="54" t="s">
        <v>43</v>
      </c>
      <c r="C10" s="40"/>
      <c r="D10" s="49">
        <f t="shared" si="4"/>
        <v>1168.702</v>
      </c>
      <c r="E10" s="45"/>
      <c r="F10" s="45">
        <v>1168.702</v>
      </c>
      <c r="G10" s="45"/>
      <c r="H10" s="45"/>
      <c r="I10" s="45"/>
      <c r="J10" s="45"/>
      <c r="K10" s="14">
        <f t="shared" si="5"/>
        <v>1306.6299963549307</v>
      </c>
      <c r="L10" s="13"/>
      <c r="M10" s="13">
        <v>1306.63</v>
      </c>
      <c r="N10" s="13"/>
      <c r="O10" s="13"/>
      <c r="P10" s="13"/>
      <c r="Q10" s="37"/>
      <c r="R10" s="15">
        <f t="shared" si="6"/>
        <v>1527061.09</v>
      </c>
      <c r="S10" s="13"/>
      <c r="T10" s="13">
        <v>1527061.09</v>
      </c>
      <c r="U10" s="13"/>
      <c r="V10" s="13"/>
      <c r="W10" s="13"/>
      <c r="X10" s="37"/>
      <c r="Y10" s="67">
        <f t="shared" si="7"/>
        <v>1168.7024482829875</v>
      </c>
      <c r="Z10" s="97"/>
      <c r="AA10" s="97">
        <f>AO10/AH10</f>
        <v>1168.7024482829875</v>
      </c>
      <c r="AB10" s="97"/>
      <c r="AC10" s="97"/>
      <c r="AD10" s="97"/>
      <c r="AE10" s="97"/>
      <c r="AF10" s="14">
        <f>AH10</f>
        <v>1306.63</v>
      </c>
      <c r="AG10" s="13"/>
      <c r="AH10" s="13">
        <v>1306.63</v>
      </c>
      <c r="AI10" s="13"/>
      <c r="AJ10" s="13"/>
      <c r="AK10" s="13"/>
      <c r="AL10" s="37"/>
      <c r="AM10" s="15">
        <f t="shared" si="8"/>
        <v>1527061.68</v>
      </c>
      <c r="AN10" s="13"/>
      <c r="AO10" s="13">
        <v>1527061.68</v>
      </c>
      <c r="AP10" s="13"/>
      <c r="AQ10" s="13"/>
      <c r="AR10" s="13"/>
      <c r="AS10" s="13"/>
      <c r="AT10" s="15">
        <f t="shared" si="9"/>
        <v>0</v>
      </c>
      <c r="AU10" s="37"/>
      <c r="AV10" s="37">
        <f>(M10-AH10)*F10</f>
        <v>0</v>
      </c>
      <c r="AW10" s="37"/>
      <c r="AX10" s="37"/>
      <c r="AY10" s="37"/>
      <c r="AZ10" s="13"/>
    </row>
    <row r="11" spans="1:52" ht="42" customHeight="1">
      <c r="A11" s="40"/>
      <c r="B11" s="54" t="s">
        <v>22</v>
      </c>
      <c r="C11" s="40"/>
      <c r="D11" s="41">
        <f t="shared" si="4"/>
        <v>10.625</v>
      </c>
      <c r="E11" s="42"/>
      <c r="F11" s="42"/>
      <c r="G11" s="42">
        <v>10.625</v>
      </c>
      <c r="H11" s="42"/>
      <c r="I11" s="42"/>
      <c r="J11" s="42"/>
      <c r="K11" s="14">
        <f t="shared" si="5"/>
        <v>1306.625882352941</v>
      </c>
      <c r="L11" s="13"/>
      <c r="M11" s="13"/>
      <c r="N11" s="13">
        <v>1306.63</v>
      </c>
      <c r="O11" s="13"/>
      <c r="P11" s="13"/>
      <c r="Q11" s="13"/>
      <c r="R11" s="14">
        <f t="shared" si="6"/>
        <v>13882.9</v>
      </c>
      <c r="S11" s="13"/>
      <c r="T11" s="13"/>
      <c r="U11" s="13">
        <v>13882.9</v>
      </c>
      <c r="V11" s="13"/>
      <c r="W11" s="13"/>
      <c r="X11" s="13"/>
      <c r="Y11" s="64">
        <f t="shared" si="7"/>
        <v>11.286431507006574</v>
      </c>
      <c r="Z11" s="65"/>
      <c r="AA11" s="65"/>
      <c r="AB11" s="65">
        <f>AP11/AI11</f>
        <v>11.286431507006574</v>
      </c>
      <c r="AC11" s="65"/>
      <c r="AD11" s="65"/>
      <c r="AE11" s="65"/>
      <c r="AF11" s="14">
        <f>AI11</f>
        <v>1306.63</v>
      </c>
      <c r="AG11" s="13"/>
      <c r="AH11" s="13"/>
      <c r="AI11" s="13">
        <v>1306.63</v>
      </c>
      <c r="AJ11" s="13"/>
      <c r="AK11" s="13"/>
      <c r="AL11" s="13"/>
      <c r="AM11" s="14">
        <f t="shared" si="8"/>
        <v>14747.19</v>
      </c>
      <c r="AN11" s="13"/>
      <c r="AO11" s="13"/>
      <c r="AP11" s="13">
        <v>14747.19</v>
      </c>
      <c r="AQ11" s="13"/>
      <c r="AR11" s="13"/>
      <c r="AS11" s="13"/>
      <c r="AT11" s="14">
        <f t="shared" si="9"/>
        <v>0</v>
      </c>
      <c r="AU11" s="37"/>
      <c r="AV11" s="37"/>
      <c r="AW11" s="37">
        <f>(N11-AI11)*G11</f>
        <v>0</v>
      </c>
      <c r="AX11" s="37"/>
      <c r="AY11" s="37"/>
      <c r="AZ11" s="13"/>
    </row>
    <row r="12" spans="1:52" ht="33" customHeight="1">
      <c r="A12" s="30"/>
      <c r="B12" s="31" t="s">
        <v>17</v>
      </c>
      <c r="C12" s="32"/>
      <c r="D12" s="33">
        <f>SUM(E12:J12)</f>
        <v>6122.6778</v>
      </c>
      <c r="E12" s="138">
        <v>816.2069</v>
      </c>
      <c r="F12" s="138">
        <v>827.4614</v>
      </c>
      <c r="G12" s="138">
        <v>1820.4735</v>
      </c>
      <c r="H12" s="138">
        <v>1573.9192</v>
      </c>
      <c r="I12" s="138">
        <v>978.2968</v>
      </c>
      <c r="J12" s="138">
        <v>106.32</v>
      </c>
      <c r="K12" s="35">
        <f t="shared" si="5"/>
        <v>1306.625756135657</v>
      </c>
      <c r="L12" s="37">
        <v>1306.63</v>
      </c>
      <c r="M12" s="37">
        <f>L12</f>
        <v>1306.63</v>
      </c>
      <c r="N12" s="37">
        <f>M12</f>
        <v>1306.63</v>
      </c>
      <c r="O12" s="37">
        <f>N12</f>
        <v>1306.63</v>
      </c>
      <c r="P12" s="37">
        <f>O12</f>
        <v>1306.63</v>
      </c>
      <c r="Q12" s="36">
        <v>1306.63</v>
      </c>
      <c r="R12" s="35">
        <f>SUM(S12:X12)</f>
        <v>8000048.510000001</v>
      </c>
      <c r="S12" s="36">
        <v>1066476.99</v>
      </c>
      <c r="T12" s="36">
        <v>1081182.42</v>
      </c>
      <c r="U12" s="36">
        <v>2378677.64</v>
      </c>
      <c r="V12" s="36">
        <v>2056523.43</v>
      </c>
      <c r="W12" s="36">
        <v>1278267.84</v>
      </c>
      <c r="X12" s="36">
        <v>138920.19</v>
      </c>
      <c r="Y12" s="62">
        <f>SUM(Z12:AE12)</f>
        <v>6125.1365880165</v>
      </c>
      <c r="Z12" s="34">
        <f>AN12/AG12</f>
        <v>816.2070058088365</v>
      </c>
      <c r="AA12" s="34">
        <f>AO12/AH12</f>
        <v>824.6758301891123</v>
      </c>
      <c r="AB12" s="34">
        <f>AP12/AI12</f>
        <v>1821.016561689231</v>
      </c>
      <c r="AC12" s="34">
        <f>AQ12/AJ12</f>
        <v>1574.7927875527118</v>
      </c>
      <c r="AD12" s="34">
        <f>AR12/AK12</f>
        <v>978.2967710828618</v>
      </c>
      <c r="AE12" s="34">
        <f>AS12/AL12</f>
        <v>110.1476316937465</v>
      </c>
      <c r="AF12" s="15">
        <f>AG12</f>
        <v>1306.63</v>
      </c>
      <c r="AG12" s="37">
        <v>1306.63</v>
      </c>
      <c r="AH12" s="37">
        <f>AG12</f>
        <v>1306.63</v>
      </c>
      <c r="AI12" s="37">
        <f>AH12</f>
        <v>1306.63</v>
      </c>
      <c r="AJ12" s="37">
        <f>AI12</f>
        <v>1306.63</v>
      </c>
      <c r="AK12" s="37">
        <f>AJ12</f>
        <v>1306.63</v>
      </c>
      <c r="AL12" s="36">
        <v>1306.63</v>
      </c>
      <c r="AM12" s="35">
        <f>SUM(AN12:AS12)</f>
        <v>8003287.220000001</v>
      </c>
      <c r="AN12" s="36">
        <f>475416.6+591063.96</f>
        <v>1066480.56</v>
      </c>
      <c r="AO12" s="36">
        <f>499152.23+308463.43+269930.52</f>
        <v>1077546.18</v>
      </c>
      <c r="AP12" s="36">
        <f>918111.28+1461283.59</f>
        <v>2379394.87</v>
      </c>
      <c r="AQ12" s="36">
        <f>1200036.44+643822.51+213812.55</f>
        <v>2057671.5</v>
      </c>
      <c r="AR12" s="36">
        <f>1278271.91</f>
        <v>1278271.91</v>
      </c>
      <c r="AS12" s="36">
        <v>143922.2</v>
      </c>
      <c r="AT12" s="35">
        <f t="shared" si="9"/>
        <v>0</v>
      </c>
      <c r="AU12" s="37">
        <f>(L12-AG12)*E12</f>
        <v>0</v>
      </c>
      <c r="AV12" s="37">
        <f>(M12-AH12)*F12</f>
        <v>0</v>
      </c>
      <c r="AW12" s="37">
        <f>(N12-AI12)*G12</f>
        <v>0</v>
      </c>
      <c r="AX12" s="37">
        <f>(O12-AJ12)*H12</f>
        <v>0</v>
      </c>
      <c r="AY12" s="37">
        <f>(P12-AK12)*I12</f>
        <v>0</v>
      </c>
      <c r="AZ12" s="37"/>
    </row>
    <row r="13" spans="1:52" ht="63.75" customHeight="1">
      <c r="A13" s="38"/>
      <c r="B13" s="39" t="s">
        <v>42</v>
      </c>
      <c r="C13" s="40"/>
      <c r="D13" s="41">
        <f t="shared" si="4"/>
        <v>100.586</v>
      </c>
      <c r="E13" s="42"/>
      <c r="F13" s="42"/>
      <c r="G13" s="42"/>
      <c r="H13" s="42"/>
      <c r="I13" s="42">
        <v>100.586</v>
      </c>
      <c r="J13" s="42"/>
      <c r="K13" s="14">
        <f t="shared" si="5"/>
        <v>1306.6352176247192</v>
      </c>
      <c r="L13" s="13"/>
      <c r="M13" s="13"/>
      <c r="N13" s="13"/>
      <c r="O13" s="13"/>
      <c r="P13" s="13">
        <v>1306.63</v>
      </c>
      <c r="Q13" s="13"/>
      <c r="R13" s="14">
        <f t="shared" si="6"/>
        <v>131429.21</v>
      </c>
      <c r="S13" s="13"/>
      <c r="T13" s="13"/>
      <c r="U13" s="13"/>
      <c r="V13" s="13"/>
      <c r="W13" s="13">
        <v>131429.21</v>
      </c>
      <c r="X13" s="13"/>
      <c r="Y13" s="64">
        <f t="shared" si="7"/>
        <v>100.58640165923022</v>
      </c>
      <c r="Z13" s="65"/>
      <c r="AA13" s="65"/>
      <c r="AB13" s="65"/>
      <c r="AC13" s="65"/>
      <c r="AD13" s="65">
        <f>AR13/AK13</f>
        <v>100.58640165923022</v>
      </c>
      <c r="AE13" s="65"/>
      <c r="AF13" s="14">
        <f>AK13</f>
        <v>1306.63</v>
      </c>
      <c r="AG13" s="13"/>
      <c r="AH13" s="13"/>
      <c r="AI13" s="13"/>
      <c r="AJ13" s="13"/>
      <c r="AK13" s="13">
        <v>1306.63</v>
      </c>
      <c r="AL13" s="13"/>
      <c r="AM13" s="14">
        <f t="shared" si="8"/>
        <v>131429.21</v>
      </c>
      <c r="AN13" s="13"/>
      <c r="AO13" s="13"/>
      <c r="AP13" s="13"/>
      <c r="AQ13" s="13"/>
      <c r="AR13" s="13">
        <v>131429.21</v>
      </c>
      <c r="AS13" s="13"/>
      <c r="AT13" s="14">
        <f t="shared" si="9"/>
        <v>0</v>
      </c>
      <c r="AU13" s="37"/>
      <c r="AV13" s="37"/>
      <c r="AW13" s="37"/>
      <c r="AX13" s="37"/>
      <c r="AY13" s="37">
        <f>(P13-AK13)*I13</f>
        <v>0</v>
      </c>
      <c r="AZ13" s="13"/>
    </row>
    <row r="14" spans="1:52" ht="37.5" customHeight="1">
      <c r="A14" s="38"/>
      <c r="B14" s="54" t="s">
        <v>23</v>
      </c>
      <c r="C14" s="40"/>
      <c r="D14" s="51">
        <f t="shared" si="4"/>
        <v>171.373</v>
      </c>
      <c r="E14" s="45"/>
      <c r="F14" s="52">
        <v>171.373</v>
      </c>
      <c r="G14" s="45"/>
      <c r="H14" s="45"/>
      <c r="I14" s="45"/>
      <c r="J14" s="45"/>
      <c r="K14" s="14">
        <f t="shared" si="5"/>
        <v>1306.6258395429854</v>
      </c>
      <c r="L14" s="13"/>
      <c r="M14" s="13">
        <v>1306.63</v>
      </c>
      <c r="N14" s="13"/>
      <c r="O14" s="13"/>
      <c r="P14" s="13"/>
      <c r="Q14" s="37"/>
      <c r="R14" s="15">
        <f t="shared" si="6"/>
        <v>223920.39</v>
      </c>
      <c r="S14" s="13"/>
      <c r="T14" s="13">
        <v>223920.39</v>
      </c>
      <c r="U14" s="13"/>
      <c r="V14" s="13"/>
      <c r="W14" s="13"/>
      <c r="X14" s="13"/>
      <c r="Y14" s="67">
        <f t="shared" si="7"/>
        <v>171.37256912821533</v>
      </c>
      <c r="Z14" s="97"/>
      <c r="AA14" s="97">
        <f>AO14/AH14</f>
        <v>171.37256912821533</v>
      </c>
      <c r="AB14" s="97"/>
      <c r="AC14" s="97"/>
      <c r="AD14" s="97"/>
      <c r="AE14" s="97"/>
      <c r="AF14" s="14">
        <f>AH14</f>
        <v>1306.63</v>
      </c>
      <c r="AG14" s="13"/>
      <c r="AH14" s="13">
        <v>1306.63</v>
      </c>
      <c r="AI14" s="13"/>
      <c r="AJ14" s="13"/>
      <c r="AK14" s="13"/>
      <c r="AL14" s="37"/>
      <c r="AM14" s="15">
        <f t="shared" si="8"/>
        <v>223920.54</v>
      </c>
      <c r="AN14" s="13"/>
      <c r="AO14" s="13">
        <v>223920.54</v>
      </c>
      <c r="AP14" s="13"/>
      <c r="AQ14" s="13"/>
      <c r="AR14" s="13"/>
      <c r="AS14" s="13"/>
      <c r="AT14" s="15">
        <f t="shared" si="9"/>
        <v>0</v>
      </c>
      <c r="AU14" s="37"/>
      <c r="AV14" s="37">
        <f>(M14-AH14)*F14</f>
        <v>0</v>
      </c>
      <c r="AW14" s="37"/>
      <c r="AX14" s="37"/>
      <c r="AY14" s="37"/>
      <c r="AZ14" s="13"/>
    </row>
    <row r="15" spans="1:52" ht="35.25" customHeight="1">
      <c r="A15" s="38"/>
      <c r="B15" s="39" t="s">
        <v>18</v>
      </c>
      <c r="C15" s="40"/>
      <c r="D15" s="75">
        <f t="shared" si="4"/>
        <v>12.152</v>
      </c>
      <c r="E15" s="42"/>
      <c r="F15" s="42"/>
      <c r="G15" s="76">
        <v>12.152</v>
      </c>
      <c r="H15" s="42"/>
      <c r="I15" s="42"/>
      <c r="J15" s="42"/>
      <c r="K15" s="14">
        <f t="shared" si="5"/>
        <v>1306.5956221198157</v>
      </c>
      <c r="L15" s="13"/>
      <c r="M15" s="13"/>
      <c r="N15" s="13">
        <v>1306.63</v>
      </c>
      <c r="O15" s="13"/>
      <c r="P15" s="13"/>
      <c r="Q15" s="13"/>
      <c r="R15" s="14">
        <f t="shared" si="6"/>
        <v>15877.75</v>
      </c>
      <c r="S15" s="13"/>
      <c r="T15" s="13"/>
      <c r="U15" s="13">
        <v>15877.75</v>
      </c>
      <c r="V15" s="13"/>
      <c r="W15" s="13"/>
      <c r="X15" s="13"/>
      <c r="Y15" s="64">
        <f t="shared" si="7"/>
        <v>12.151680276742459</v>
      </c>
      <c r="Z15" s="65"/>
      <c r="AA15" s="65"/>
      <c r="AB15" s="65">
        <f>AP15/AI15</f>
        <v>12.151680276742459</v>
      </c>
      <c r="AC15" s="65"/>
      <c r="AD15" s="65"/>
      <c r="AE15" s="65"/>
      <c r="AF15" s="14">
        <f>AI15</f>
        <v>1306.63</v>
      </c>
      <c r="AG15" s="13"/>
      <c r="AH15" s="13"/>
      <c r="AI15" s="13">
        <v>1306.63</v>
      </c>
      <c r="AJ15" s="13"/>
      <c r="AK15" s="13"/>
      <c r="AL15" s="13"/>
      <c r="AM15" s="14">
        <f t="shared" si="8"/>
        <v>15877.75</v>
      </c>
      <c r="AN15" s="13"/>
      <c r="AO15" s="13"/>
      <c r="AP15" s="13">
        <v>15877.75</v>
      </c>
      <c r="AQ15" s="13"/>
      <c r="AR15" s="13"/>
      <c r="AS15" s="13"/>
      <c r="AT15" s="14">
        <f t="shared" si="9"/>
        <v>0</v>
      </c>
      <c r="AU15" s="37"/>
      <c r="AV15" s="37"/>
      <c r="AW15" s="37">
        <f>(N15-AI15)*G15</f>
        <v>0</v>
      </c>
      <c r="AX15" s="37"/>
      <c r="AY15" s="37"/>
      <c r="AZ15" s="13"/>
    </row>
    <row r="16" spans="1:52" ht="56.25" customHeight="1">
      <c r="A16" s="9"/>
      <c r="B16" s="43" t="s">
        <v>41</v>
      </c>
      <c r="C16" s="32"/>
      <c r="D16" s="44">
        <f t="shared" si="4"/>
        <v>2636.13298</v>
      </c>
      <c r="E16" s="45"/>
      <c r="F16" s="46">
        <v>2636.13298</v>
      </c>
      <c r="G16" s="45"/>
      <c r="H16" s="45"/>
      <c r="I16" s="45"/>
      <c r="J16" s="45"/>
      <c r="K16" s="14">
        <f t="shared" si="5"/>
        <v>1306.629997853902</v>
      </c>
      <c r="L16" s="13"/>
      <c r="M16" s="13">
        <v>1306.63</v>
      </c>
      <c r="N16" s="13"/>
      <c r="O16" s="13"/>
      <c r="P16" s="13"/>
      <c r="Q16" s="37"/>
      <c r="R16" s="15">
        <f t="shared" si="6"/>
        <v>3444450.43</v>
      </c>
      <c r="S16" s="36"/>
      <c r="T16" s="36">
        <v>3444450.43</v>
      </c>
      <c r="U16" s="36"/>
      <c r="V16" s="36"/>
      <c r="W16" s="36"/>
      <c r="X16" s="36"/>
      <c r="Y16" s="67">
        <f t="shared" si="7"/>
        <v>2643.5715772636477</v>
      </c>
      <c r="Z16" s="97"/>
      <c r="AA16" s="97">
        <f>AO16/AH16</f>
        <v>2643.5715772636477</v>
      </c>
      <c r="AB16" s="97"/>
      <c r="AC16" s="97"/>
      <c r="AD16" s="97"/>
      <c r="AE16" s="97"/>
      <c r="AF16" s="14">
        <f>AH16</f>
        <v>1306.63</v>
      </c>
      <c r="AG16" s="13"/>
      <c r="AH16" s="13">
        <v>1306.63</v>
      </c>
      <c r="AI16" s="13"/>
      <c r="AJ16" s="13"/>
      <c r="AK16" s="13"/>
      <c r="AL16" s="37"/>
      <c r="AM16" s="15">
        <f t="shared" si="8"/>
        <v>3454169.93</v>
      </c>
      <c r="AN16" s="36"/>
      <c r="AO16" s="36">
        <v>3454169.93</v>
      </c>
      <c r="AP16" s="36"/>
      <c r="AQ16" s="36"/>
      <c r="AR16" s="36"/>
      <c r="AS16" s="13"/>
      <c r="AT16" s="15">
        <f t="shared" si="9"/>
        <v>0</v>
      </c>
      <c r="AU16" s="37"/>
      <c r="AV16" s="37">
        <f>(M16-AH16)*F16</f>
        <v>0</v>
      </c>
      <c r="AW16" s="37"/>
      <c r="AX16" s="37"/>
      <c r="AY16" s="37"/>
      <c r="AZ16" s="13"/>
    </row>
    <row r="17" spans="1:52" ht="58.5" customHeight="1">
      <c r="A17" s="38">
        <v>36</v>
      </c>
      <c r="B17" s="39" t="s">
        <v>37</v>
      </c>
      <c r="C17" s="106"/>
      <c r="D17" s="75">
        <f>SUM(E17:J17)</f>
        <v>32.256</v>
      </c>
      <c r="E17" s="42"/>
      <c r="F17" s="42"/>
      <c r="G17" s="76"/>
      <c r="H17" s="42"/>
      <c r="I17" s="107"/>
      <c r="J17" s="76">
        <v>32.256</v>
      </c>
      <c r="K17" s="14">
        <f t="shared" si="5"/>
        <v>1163.8461061507935</v>
      </c>
      <c r="L17" s="13"/>
      <c r="M17" s="13"/>
      <c r="N17" s="13"/>
      <c r="O17" s="13"/>
      <c r="P17" s="109"/>
      <c r="Q17" s="109">
        <v>1163.85</v>
      </c>
      <c r="R17" s="14">
        <f>SUM(S17:X17)</f>
        <v>37541.02</v>
      </c>
      <c r="S17" s="13"/>
      <c r="T17" s="13"/>
      <c r="U17" s="13"/>
      <c r="V17" s="13"/>
      <c r="W17" s="13"/>
      <c r="X17" s="13">
        <v>37541.02</v>
      </c>
      <c r="Y17" s="64">
        <f>AE17</f>
        <v>32.25582334493277</v>
      </c>
      <c r="Z17" s="65"/>
      <c r="AA17" s="65"/>
      <c r="AB17" s="65"/>
      <c r="AC17" s="65"/>
      <c r="AD17" s="65"/>
      <c r="AE17" s="65">
        <f>AS17/AL17</f>
        <v>32.25582334493277</v>
      </c>
      <c r="AF17" s="14">
        <f>AL17</f>
        <v>1163.85</v>
      </c>
      <c r="AG17" s="13"/>
      <c r="AH17" s="13"/>
      <c r="AI17" s="13"/>
      <c r="AJ17" s="13"/>
      <c r="AK17" s="109"/>
      <c r="AL17" s="109">
        <v>1163.85</v>
      </c>
      <c r="AM17" s="14">
        <f>AS17</f>
        <v>37540.94</v>
      </c>
      <c r="AN17" s="13"/>
      <c r="AO17" s="13"/>
      <c r="AP17" s="13"/>
      <c r="AQ17" s="13"/>
      <c r="AR17" s="13"/>
      <c r="AS17" s="13">
        <v>37540.94</v>
      </c>
      <c r="AT17" s="14">
        <f>SUM(AU17:AZ17)</f>
        <v>0</v>
      </c>
      <c r="AU17" s="13"/>
      <c r="AV17" s="13"/>
      <c r="AW17" s="13"/>
      <c r="AX17" s="13"/>
      <c r="AY17" s="13"/>
      <c r="AZ17" s="37">
        <f>(Q17-AL17)*J17</f>
        <v>0</v>
      </c>
    </row>
    <row r="18" spans="1:52" ht="88.5" customHeight="1" thickBot="1">
      <c r="A18" s="30"/>
      <c r="B18" s="31" t="s">
        <v>38</v>
      </c>
      <c r="D18" s="75">
        <f>SUM(E18:J18)</f>
        <v>156.243</v>
      </c>
      <c r="E18" s="56"/>
      <c r="F18" s="56"/>
      <c r="G18" s="102"/>
      <c r="H18" s="56"/>
      <c r="I18" s="103"/>
      <c r="J18" s="76">
        <v>156.243</v>
      </c>
      <c r="K18" s="14">
        <f t="shared" si="5"/>
        <v>1200.0010240458773</v>
      </c>
      <c r="L18" s="36"/>
      <c r="M18" s="36"/>
      <c r="N18" s="36"/>
      <c r="O18" s="36"/>
      <c r="P18" s="105"/>
      <c r="Q18" s="105">
        <v>1200</v>
      </c>
      <c r="R18" s="14">
        <f>SUM(S18:X18)</f>
        <v>187491.76</v>
      </c>
      <c r="S18" s="36"/>
      <c r="T18" s="36"/>
      <c r="U18" s="36"/>
      <c r="V18" s="36"/>
      <c r="W18" s="36"/>
      <c r="X18" s="36">
        <v>187491.76</v>
      </c>
      <c r="Y18" s="62">
        <f>AE18</f>
        <v>156.24065833333333</v>
      </c>
      <c r="Z18" s="34"/>
      <c r="AA18" s="34"/>
      <c r="AB18" s="34"/>
      <c r="AC18" s="34"/>
      <c r="AD18" s="34"/>
      <c r="AE18" s="65">
        <f>AS18/AL18</f>
        <v>156.24065833333333</v>
      </c>
      <c r="AF18" s="35">
        <f>AL18</f>
        <v>1200</v>
      </c>
      <c r="AG18" s="36"/>
      <c r="AH18" s="36"/>
      <c r="AI18" s="36"/>
      <c r="AJ18" s="36"/>
      <c r="AK18" s="105"/>
      <c r="AL18" s="105">
        <v>1200</v>
      </c>
      <c r="AM18" s="35">
        <f>AS18</f>
        <v>187488.79</v>
      </c>
      <c r="AN18" s="36"/>
      <c r="AO18" s="36"/>
      <c r="AP18" s="36"/>
      <c r="AQ18" s="36"/>
      <c r="AR18" s="36"/>
      <c r="AS18" s="36">
        <v>187488.79</v>
      </c>
      <c r="AT18" s="57">
        <f>SUM(AU18:AZ18)</f>
        <v>0</v>
      </c>
      <c r="AU18" s="50"/>
      <c r="AV18" s="50"/>
      <c r="AW18" s="50"/>
      <c r="AX18" s="50"/>
      <c r="AY18" s="50"/>
      <c r="AZ18" s="37">
        <f>(Q18-AL18)*J18</f>
        <v>0</v>
      </c>
    </row>
    <row r="19" spans="1:65" s="29" customFormat="1" ht="43.5" customHeight="1" thickBot="1">
      <c r="A19" s="23">
        <v>2</v>
      </c>
      <c r="B19" s="24" t="s">
        <v>0</v>
      </c>
      <c r="C19" s="58" t="s">
        <v>5</v>
      </c>
      <c r="D19" s="26">
        <f aca="true" t="shared" si="10" ref="D19:J19">SUM(D20:D26)</f>
        <v>22934.699033910343</v>
      </c>
      <c r="E19" s="59">
        <f t="shared" si="10"/>
        <v>602.6229</v>
      </c>
      <c r="F19" s="59">
        <f t="shared" si="10"/>
        <v>9577.9475</v>
      </c>
      <c r="G19" s="59">
        <f t="shared" si="10"/>
        <v>7394.4205</v>
      </c>
      <c r="H19" s="59">
        <f t="shared" si="10"/>
        <v>1212.987</v>
      </c>
      <c r="I19" s="59">
        <f t="shared" si="10"/>
        <v>4018.4211339103417</v>
      </c>
      <c r="J19" s="59">
        <f t="shared" si="10"/>
        <v>128.3</v>
      </c>
      <c r="K19" s="27">
        <f t="shared" si="5"/>
        <v>97.40196227110135</v>
      </c>
      <c r="L19" s="61">
        <f>L22</f>
        <v>91.02</v>
      </c>
      <c r="M19" s="27">
        <f>T19/F19</f>
        <v>101.5945075915273</v>
      </c>
      <c r="N19" s="27">
        <f>U19/G19</f>
        <v>94.66792157681593</v>
      </c>
      <c r="O19" s="27">
        <f>O22</f>
        <v>90.44</v>
      </c>
      <c r="P19" s="27">
        <f>W19/I19</f>
        <v>95.65159479090475</v>
      </c>
      <c r="Q19" s="27">
        <f>Q26</f>
        <v>92.65</v>
      </c>
      <c r="R19" s="27">
        <f aca="true" t="shared" si="11" ref="R19:AE19">SUM(R20:R26)</f>
        <v>2233884.69</v>
      </c>
      <c r="S19" s="27">
        <f t="shared" si="11"/>
        <v>54848.2</v>
      </c>
      <c r="T19" s="27">
        <f t="shared" si="11"/>
        <v>973066.86</v>
      </c>
      <c r="U19" s="27">
        <f t="shared" si="11"/>
        <v>700014.42</v>
      </c>
      <c r="V19" s="27">
        <f t="shared" si="11"/>
        <v>109699.56</v>
      </c>
      <c r="W19" s="27">
        <f t="shared" si="11"/>
        <v>384368.39</v>
      </c>
      <c r="X19" s="27">
        <f t="shared" si="11"/>
        <v>11887.26</v>
      </c>
      <c r="Y19" s="59">
        <f t="shared" si="11"/>
        <v>23037.808749022784</v>
      </c>
      <c r="Z19" s="59">
        <f t="shared" si="11"/>
        <v>602.6228985825733</v>
      </c>
      <c r="AA19" s="59">
        <f t="shared" si="11"/>
        <v>9598.418587311566</v>
      </c>
      <c r="AB19" s="59">
        <f t="shared" si="11"/>
        <v>7449.6841323914505</v>
      </c>
      <c r="AC19" s="59">
        <f t="shared" si="11"/>
        <v>1270.34354268023</v>
      </c>
      <c r="AD19" s="59">
        <f t="shared" si="11"/>
        <v>3988.43967439411</v>
      </c>
      <c r="AE19" s="59">
        <f t="shared" si="11"/>
        <v>128.29991366285344</v>
      </c>
      <c r="AF19" s="28">
        <f>AM19/Y19</f>
        <v>97.05207141694153</v>
      </c>
      <c r="AG19" s="101">
        <f>AG22</f>
        <v>91.01</v>
      </c>
      <c r="AH19" s="101">
        <f>AO19/AA19</f>
        <v>101.5563294237439</v>
      </c>
      <c r="AI19" s="101">
        <f>AP19/AB19</f>
        <v>94.66405386688731</v>
      </c>
      <c r="AJ19" s="101">
        <f>AJ22</f>
        <v>90.44</v>
      </c>
      <c r="AK19" s="27">
        <f>AR19/AD19</f>
        <v>93.83287213861455</v>
      </c>
      <c r="AL19" s="27">
        <f>AL26</f>
        <v>92.66</v>
      </c>
      <c r="AM19" s="27">
        <f aca="true" t="shared" si="12" ref="AM19:AZ19">SUM(AM20:AM26)</f>
        <v>2235867.0599999996</v>
      </c>
      <c r="AN19" s="27">
        <f t="shared" si="12"/>
        <v>54844.71</v>
      </c>
      <c r="AO19" s="27">
        <f t="shared" si="12"/>
        <v>974780.1599999999</v>
      </c>
      <c r="AP19" s="27">
        <f t="shared" si="12"/>
        <v>705217.2999999999</v>
      </c>
      <c r="AQ19" s="27">
        <f t="shared" si="12"/>
        <v>114889.87</v>
      </c>
      <c r="AR19" s="27">
        <f t="shared" si="12"/>
        <v>374246.75</v>
      </c>
      <c r="AS19" s="27">
        <f t="shared" si="12"/>
        <v>11888.27</v>
      </c>
      <c r="AT19" s="118">
        <f t="shared" si="12"/>
        <v>7303.305234999938</v>
      </c>
      <c r="AU19" s="27">
        <f t="shared" si="12"/>
        <v>6.026228999994519</v>
      </c>
      <c r="AV19" s="27">
        <f t="shared" si="12"/>
        <v>0</v>
      </c>
      <c r="AW19" s="27">
        <f t="shared" si="12"/>
        <v>2.9743800000015215</v>
      </c>
      <c r="AX19" s="27">
        <f t="shared" si="12"/>
        <v>0</v>
      </c>
      <c r="AY19" s="27">
        <f t="shared" si="12"/>
        <v>7295.58762599994</v>
      </c>
      <c r="AZ19" s="27">
        <f t="shared" si="12"/>
        <v>-1.2829999999988333</v>
      </c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</row>
    <row r="20" spans="1:52" s="4" customFormat="1" ht="41.25" customHeight="1">
      <c r="A20" s="70"/>
      <c r="B20" s="47" t="s">
        <v>24</v>
      </c>
      <c r="C20" s="47"/>
      <c r="D20" s="64">
        <f aca="true" t="shared" si="13" ref="D20:D25">SUM(E20:I20)</f>
        <v>297.438</v>
      </c>
      <c r="E20" s="69"/>
      <c r="F20" s="69"/>
      <c r="G20" s="69">
        <v>297.438</v>
      </c>
      <c r="H20" s="69"/>
      <c r="I20" s="69"/>
      <c r="J20" s="34"/>
      <c r="K20" s="14">
        <f t="shared" si="5"/>
        <v>104.38222419462207</v>
      </c>
      <c r="L20" s="50"/>
      <c r="M20" s="73"/>
      <c r="N20" s="142">
        <v>104.39</v>
      </c>
      <c r="O20" s="50"/>
      <c r="P20" s="50"/>
      <c r="Q20" s="50"/>
      <c r="R20" s="63">
        <f aca="true" t="shared" si="14" ref="R20:R25">SUM(S20:W20)</f>
        <v>31047.239999999998</v>
      </c>
      <c r="S20" s="50"/>
      <c r="T20" s="50"/>
      <c r="U20" s="50">
        <f>20636.91+10410.33</f>
        <v>31047.239999999998</v>
      </c>
      <c r="V20" s="73"/>
      <c r="W20" s="73"/>
      <c r="X20" s="73"/>
      <c r="Y20" s="100">
        <f aca="true" t="shared" si="15" ref="Y20:Y25">SUM(Z20:AD20)</f>
        <v>297.4381107491857</v>
      </c>
      <c r="Z20" s="98"/>
      <c r="AA20" s="98"/>
      <c r="AB20" s="98">
        <f>AP20/AI20</f>
        <v>297.4381107491857</v>
      </c>
      <c r="AC20" s="98"/>
      <c r="AD20" s="98"/>
      <c r="AE20" s="98"/>
      <c r="AF20" s="63">
        <f>AI20</f>
        <v>104.38</v>
      </c>
      <c r="AG20" s="73"/>
      <c r="AH20" s="73"/>
      <c r="AI20" s="73">
        <v>104.38</v>
      </c>
      <c r="AJ20" s="73"/>
      <c r="AK20" s="73"/>
      <c r="AL20" s="73"/>
      <c r="AM20" s="63">
        <f aca="true" t="shared" si="16" ref="AM20:AM25">SUM(AN20:AR20)</f>
        <v>31046.59</v>
      </c>
      <c r="AN20" s="73"/>
      <c r="AO20" s="73"/>
      <c r="AP20" s="73">
        <v>31046.59</v>
      </c>
      <c r="AQ20" s="73"/>
      <c r="AR20" s="73"/>
      <c r="AS20" s="73"/>
      <c r="AT20" s="63">
        <f aca="true" t="shared" si="17" ref="AT20:AT25">SUM(AU20:AY20)</f>
        <v>2.9743800000015215</v>
      </c>
      <c r="AU20" s="73"/>
      <c r="AV20" s="73"/>
      <c r="AW20" s="37">
        <f>(N20-AI20)*G20</f>
        <v>2.9743800000015215</v>
      </c>
      <c r="AX20" s="73"/>
      <c r="AY20" s="73"/>
      <c r="AZ20" s="73"/>
    </row>
    <row r="21" spans="1:52" s="4" customFormat="1" ht="58.5" customHeight="1">
      <c r="A21" s="66"/>
      <c r="B21" s="55" t="s">
        <v>43</v>
      </c>
      <c r="C21" s="47"/>
      <c r="D21" s="62">
        <f t="shared" si="13"/>
        <v>273.22</v>
      </c>
      <c r="E21" s="68"/>
      <c r="F21" s="69">
        <v>273.22</v>
      </c>
      <c r="G21" s="69"/>
      <c r="H21" s="69"/>
      <c r="I21" s="69"/>
      <c r="J21" s="69"/>
      <c r="K21" s="57">
        <f t="shared" si="5"/>
        <v>83.7516287241051</v>
      </c>
      <c r="L21" s="50"/>
      <c r="M21" s="36">
        <v>83.75</v>
      </c>
      <c r="N21" s="50"/>
      <c r="O21" s="50"/>
      <c r="P21" s="50"/>
      <c r="Q21" s="50"/>
      <c r="R21" s="35">
        <f t="shared" si="14"/>
        <v>22882.62</v>
      </c>
      <c r="S21" s="50"/>
      <c r="T21" s="50">
        <v>22882.62</v>
      </c>
      <c r="U21" s="50"/>
      <c r="V21" s="36"/>
      <c r="W21" s="36"/>
      <c r="X21" s="36"/>
      <c r="Y21" s="62">
        <f t="shared" si="15"/>
        <v>273.2199402985074</v>
      </c>
      <c r="Z21" s="34"/>
      <c r="AA21" s="34">
        <f>AO21/AH21</f>
        <v>273.2199402985074</v>
      </c>
      <c r="AB21" s="34"/>
      <c r="AC21" s="34"/>
      <c r="AD21" s="34"/>
      <c r="AE21" s="34"/>
      <c r="AF21" s="14">
        <f>AH21</f>
        <v>83.75</v>
      </c>
      <c r="AG21" s="36"/>
      <c r="AH21" s="36">
        <v>83.75</v>
      </c>
      <c r="AI21" s="36"/>
      <c r="AJ21" s="36"/>
      <c r="AK21" s="36"/>
      <c r="AL21" s="36"/>
      <c r="AM21" s="35">
        <f t="shared" si="16"/>
        <v>22882.17</v>
      </c>
      <c r="AN21" s="36"/>
      <c r="AO21" s="36">
        <v>22882.17</v>
      </c>
      <c r="AP21" s="36"/>
      <c r="AQ21" s="36"/>
      <c r="AR21" s="36"/>
      <c r="AS21" s="36"/>
      <c r="AT21" s="35">
        <f t="shared" si="17"/>
        <v>0</v>
      </c>
      <c r="AU21" s="13"/>
      <c r="AV21" s="13">
        <f>(M21-AH21)*F21</f>
        <v>0</v>
      </c>
      <c r="AW21" s="13"/>
      <c r="AX21" s="13"/>
      <c r="AY21" s="13"/>
      <c r="AZ21" s="36"/>
    </row>
    <row r="22" spans="1:52" ht="40.5" customHeight="1">
      <c r="A22" s="9"/>
      <c r="B22" s="39" t="s">
        <v>35</v>
      </c>
      <c r="C22" s="40"/>
      <c r="D22" s="64">
        <f t="shared" si="13"/>
        <v>13129.9738</v>
      </c>
      <c r="E22" s="65">
        <v>602.6229</v>
      </c>
      <c r="F22" s="65">
        <v>610.4515</v>
      </c>
      <c r="G22" s="65">
        <v>7096.9825</v>
      </c>
      <c r="H22" s="65">
        <v>1212.987</v>
      </c>
      <c r="I22" s="65">
        <v>3606.9299</v>
      </c>
      <c r="J22" s="65"/>
      <c r="K22" s="14">
        <f t="shared" si="5"/>
        <v>94.31408385597847</v>
      </c>
      <c r="L22" s="14">
        <v>91.02</v>
      </c>
      <c r="M22" s="13">
        <v>94.26</v>
      </c>
      <c r="N22" s="13">
        <f>M22</f>
        <v>94.26</v>
      </c>
      <c r="O22" s="13">
        <v>90.44</v>
      </c>
      <c r="P22" s="130">
        <f>W22/I22</f>
        <v>96.28265855679645</v>
      </c>
      <c r="Q22" s="13"/>
      <c r="R22" s="14">
        <f t="shared" si="14"/>
        <v>1238341.4500000002</v>
      </c>
      <c r="S22" s="13">
        <v>54848.2</v>
      </c>
      <c r="T22" s="13">
        <v>57541.71</v>
      </c>
      <c r="U22" s="13">
        <v>668967.18</v>
      </c>
      <c r="V22" s="13">
        <v>109699.56</v>
      </c>
      <c r="W22" s="13">
        <v>347284.8</v>
      </c>
      <c r="X22" s="13"/>
      <c r="Y22" s="64">
        <f t="shared" si="15"/>
        <v>13253.354410709017</v>
      </c>
      <c r="Z22" s="65">
        <f>AN22/AG22</f>
        <v>602.6228985825733</v>
      </c>
      <c r="AA22" s="65">
        <f>AO22/AH22</f>
        <v>651.1935073201782</v>
      </c>
      <c r="AB22" s="65">
        <f>AP22/AI22</f>
        <v>7152.246021642265</v>
      </c>
      <c r="AC22" s="65">
        <f>AQ22/AJ22</f>
        <v>1270.34354268023</v>
      </c>
      <c r="AD22" s="65">
        <f>AR22/AK22</f>
        <v>3576.9484404837685</v>
      </c>
      <c r="AE22" s="65"/>
      <c r="AF22" s="14">
        <f>AM22/Y22</f>
        <v>93.74607450292521</v>
      </c>
      <c r="AG22" s="13">
        <v>91.01</v>
      </c>
      <c r="AH22" s="13">
        <v>94.26</v>
      </c>
      <c r="AI22" s="13">
        <f>AH22</f>
        <v>94.26</v>
      </c>
      <c r="AJ22" s="13">
        <v>90.44</v>
      </c>
      <c r="AK22" s="13">
        <f>AH22</f>
        <v>94.26</v>
      </c>
      <c r="AL22" s="13"/>
      <c r="AM22" s="14">
        <f t="shared" si="16"/>
        <v>1242449.95</v>
      </c>
      <c r="AN22" s="13">
        <f>54844.71</f>
        <v>54844.71</v>
      </c>
      <c r="AO22" s="13">
        <f>61381.5</f>
        <v>61381.5</v>
      </c>
      <c r="AP22" s="13">
        <f>284494.02+389676.69</f>
        <v>674170.71</v>
      </c>
      <c r="AQ22" s="13">
        <f>114889.87</f>
        <v>114889.87</v>
      </c>
      <c r="AR22" s="13">
        <f>336432.46+730.7</f>
        <v>337163.16000000003</v>
      </c>
      <c r="AS22" s="13"/>
      <c r="AT22" s="14">
        <f t="shared" si="17"/>
        <v>7301.613854999935</v>
      </c>
      <c r="AU22" s="37">
        <f>(L22-AG22)*E22</f>
        <v>6.026228999994519</v>
      </c>
      <c r="AV22" s="37">
        <f>(M22-AH22)*F22</f>
        <v>0</v>
      </c>
      <c r="AW22" s="37">
        <f>(N22-AI22)*G22</f>
        <v>0</v>
      </c>
      <c r="AX22" s="37">
        <f>(O22-AJ22)*H22</f>
        <v>0</v>
      </c>
      <c r="AY22" s="37">
        <f>(P22-AK22)*I22</f>
        <v>7295.58762599994</v>
      </c>
      <c r="AZ22" s="13"/>
    </row>
    <row r="23" spans="1:52" s="4" customFormat="1" ht="42" customHeight="1">
      <c r="A23" s="66"/>
      <c r="B23" s="39" t="s">
        <v>23</v>
      </c>
      <c r="C23" s="39"/>
      <c r="D23" s="64">
        <f t="shared" si="13"/>
        <v>462.496</v>
      </c>
      <c r="E23" s="65"/>
      <c r="F23" s="65">
        <v>462.496</v>
      </c>
      <c r="G23" s="65"/>
      <c r="H23" s="65"/>
      <c r="I23" s="65"/>
      <c r="J23" s="65"/>
      <c r="K23" s="14">
        <f aca="true" t="shared" si="18" ref="K23:K46">R23/D23</f>
        <v>90.67898965612676</v>
      </c>
      <c r="L23" s="13"/>
      <c r="M23" s="13">
        <v>90.68</v>
      </c>
      <c r="N23" s="13"/>
      <c r="O23" s="13"/>
      <c r="P23" s="13"/>
      <c r="Q23" s="13"/>
      <c r="R23" s="14">
        <f t="shared" si="14"/>
        <v>41938.67</v>
      </c>
      <c r="S23" s="13"/>
      <c r="T23" s="13">
        <v>41938.67</v>
      </c>
      <c r="U23" s="13"/>
      <c r="V23" s="13"/>
      <c r="W23" s="13"/>
      <c r="X23" s="13"/>
      <c r="Y23" s="64">
        <f t="shared" si="15"/>
        <v>462.4961402734892</v>
      </c>
      <c r="Z23" s="65"/>
      <c r="AA23" s="65">
        <f>AO23/AH23</f>
        <v>462.4961402734892</v>
      </c>
      <c r="AB23" s="65"/>
      <c r="AC23" s="65"/>
      <c r="AD23" s="65"/>
      <c r="AE23" s="65"/>
      <c r="AF23" s="15">
        <f>AH23</f>
        <v>90.68</v>
      </c>
      <c r="AG23" s="13"/>
      <c r="AH23" s="13">
        <v>90.68</v>
      </c>
      <c r="AI23" s="13"/>
      <c r="AJ23" s="13"/>
      <c r="AK23" s="13"/>
      <c r="AL23" s="13"/>
      <c r="AM23" s="14">
        <f t="shared" si="16"/>
        <v>41939.15</v>
      </c>
      <c r="AN23" s="13"/>
      <c r="AO23" s="13">
        <v>41939.15</v>
      </c>
      <c r="AP23" s="13"/>
      <c r="AQ23" s="13"/>
      <c r="AR23" s="13"/>
      <c r="AS23" s="13"/>
      <c r="AT23" s="14">
        <f t="shared" si="17"/>
        <v>0</v>
      </c>
      <c r="AU23" s="13"/>
      <c r="AV23" s="37">
        <f>(M23-AH23)*F23</f>
        <v>0</v>
      </c>
      <c r="AW23" s="13"/>
      <c r="AX23" s="13"/>
      <c r="AY23" s="13"/>
      <c r="AZ23" s="13"/>
    </row>
    <row r="24" spans="1:52" s="4" customFormat="1" ht="57" customHeight="1">
      <c r="A24" s="66"/>
      <c r="B24" s="43" t="s">
        <v>41</v>
      </c>
      <c r="C24" s="43"/>
      <c r="D24" s="67">
        <f t="shared" si="13"/>
        <v>8231.78</v>
      </c>
      <c r="E24" s="34"/>
      <c r="F24" s="97">
        <v>8231.78</v>
      </c>
      <c r="G24" s="34"/>
      <c r="H24" s="34"/>
      <c r="I24" s="97"/>
      <c r="J24" s="97"/>
      <c r="K24" s="15">
        <f t="shared" si="18"/>
        <v>103.34385272687072</v>
      </c>
      <c r="L24" s="37"/>
      <c r="M24" s="139">
        <v>103.34</v>
      </c>
      <c r="N24" s="37"/>
      <c r="O24" s="37"/>
      <c r="P24" s="37"/>
      <c r="Q24" s="37"/>
      <c r="R24" s="15">
        <f t="shared" si="14"/>
        <v>850703.86</v>
      </c>
      <c r="S24" s="37"/>
      <c r="T24" s="37">
        <v>850703.86</v>
      </c>
      <c r="U24" s="37"/>
      <c r="V24" s="37"/>
      <c r="W24" s="37"/>
      <c r="X24" s="37"/>
      <c r="Y24" s="67">
        <f t="shared" si="15"/>
        <v>8211.508999419391</v>
      </c>
      <c r="Z24" s="97"/>
      <c r="AA24" s="97">
        <f>AO24/AH24</f>
        <v>8211.508999419391</v>
      </c>
      <c r="AB24" s="97"/>
      <c r="AC24" s="97"/>
      <c r="AD24" s="97"/>
      <c r="AE24" s="97"/>
      <c r="AF24" s="15">
        <f>AH24</f>
        <v>103.34</v>
      </c>
      <c r="AG24" s="37"/>
      <c r="AH24" s="37">
        <v>103.34</v>
      </c>
      <c r="AI24" s="37"/>
      <c r="AJ24" s="37"/>
      <c r="AK24" s="37"/>
      <c r="AL24" s="37"/>
      <c r="AM24" s="15">
        <f t="shared" si="16"/>
        <v>848577.34</v>
      </c>
      <c r="AN24" s="37"/>
      <c r="AO24" s="36">
        <v>848577.34</v>
      </c>
      <c r="AP24" s="37"/>
      <c r="AQ24" s="37"/>
      <c r="AR24" s="37"/>
      <c r="AS24" s="37"/>
      <c r="AT24" s="15">
        <f t="shared" si="17"/>
        <v>0</v>
      </c>
      <c r="AU24" s="37"/>
      <c r="AV24" s="37">
        <f>(M24-AH24)*F24</f>
        <v>0</v>
      </c>
      <c r="AW24" s="37"/>
      <c r="AX24" s="37"/>
      <c r="AY24" s="37"/>
      <c r="AZ24" s="37"/>
    </row>
    <row r="25" spans="1:52" ht="65.25" customHeight="1">
      <c r="A25" s="9"/>
      <c r="B25" s="39" t="s">
        <v>42</v>
      </c>
      <c r="C25" s="40"/>
      <c r="D25" s="64">
        <f t="shared" si="13"/>
        <v>411.4912339103417</v>
      </c>
      <c r="E25" s="65"/>
      <c r="F25" s="65"/>
      <c r="G25" s="65"/>
      <c r="H25" s="65"/>
      <c r="I25" s="65">
        <f>W25/P25</f>
        <v>411.4912339103417</v>
      </c>
      <c r="J25" s="65"/>
      <c r="K25" s="14">
        <f t="shared" si="18"/>
        <v>90.12</v>
      </c>
      <c r="L25" s="13"/>
      <c r="M25" s="13"/>
      <c r="N25" s="13"/>
      <c r="O25" s="13"/>
      <c r="P25" s="13">
        <v>90.12</v>
      </c>
      <c r="Q25" s="13"/>
      <c r="R25" s="14">
        <f t="shared" si="14"/>
        <v>37083.59</v>
      </c>
      <c r="S25" s="13"/>
      <c r="T25" s="13"/>
      <c r="U25" s="13"/>
      <c r="V25" s="13"/>
      <c r="W25" s="13">
        <v>37083.59</v>
      </c>
      <c r="X25" s="13"/>
      <c r="Y25" s="64">
        <f t="shared" si="15"/>
        <v>411.4912339103417</v>
      </c>
      <c r="Z25" s="65"/>
      <c r="AA25" s="65"/>
      <c r="AB25" s="65"/>
      <c r="AC25" s="65"/>
      <c r="AD25" s="65">
        <f>AR25/AK25</f>
        <v>411.4912339103417</v>
      </c>
      <c r="AE25" s="65"/>
      <c r="AF25" s="14">
        <f>AK25</f>
        <v>90.12</v>
      </c>
      <c r="AG25" s="13"/>
      <c r="AH25" s="13"/>
      <c r="AI25" s="13"/>
      <c r="AJ25" s="13"/>
      <c r="AK25" s="37">
        <v>90.12</v>
      </c>
      <c r="AL25" s="13"/>
      <c r="AM25" s="14">
        <f t="shared" si="16"/>
        <v>37083.59</v>
      </c>
      <c r="AN25" s="13"/>
      <c r="AO25" s="13"/>
      <c r="AP25" s="13"/>
      <c r="AQ25" s="13"/>
      <c r="AR25" s="13">
        <v>37083.59</v>
      </c>
      <c r="AS25" s="13"/>
      <c r="AT25" s="14">
        <f t="shared" si="17"/>
        <v>0</v>
      </c>
      <c r="AU25" s="37"/>
      <c r="AV25" s="37"/>
      <c r="AW25" s="37"/>
      <c r="AX25" s="37"/>
      <c r="AY25" s="37">
        <f>(P25-AK25)*I25</f>
        <v>0</v>
      </c>
      <c r="AZ25" s="13"/>
    </row>
    <row r="26" spans="1:52" ht="58.5" customHeight="1" thickBot="1">
      <c r="A26" s="38">
        <v>36</v>
      </c>
      <c r="B26" s="39" t="s">
        <v>37</v>
      </c>
      <c r="C26" s="106"/>
      <c r="D26" s="62">
        <f>SUM(E26:J26)</f>
        <v>128.3</v>
      </c>
      <c r="E26" s="42"/>
      <c r="F26" s="42"/>
      <c r="G26" s="76"/>
      <c r="H26" s="42"/>
      <c r="I26" s="107"/>
      <c r="J26" s="69">
        <v>128.3</v>
      </c>
      <c r="K26" s="35">
        <f t="shared" si="18"/>
        <v>92.65206547155104</v>
      </c>
      <c r="L26" s="108"/>
      <c r="M26" s="13"/>
      <c r="N26" s="13"/>
      <c r="O26" s="13"/>
      <c r="P26" s="13"/>
      <c r="Q26" s="130">
        <v>92.65</v>
      </c>
      <c r="R26" s="57">
        <f>SUM(S26:X26)</f>
        <v>11887.26</v>
      </c>
      <c r="S26" s="13"/>
      <c r="T26" s="13"/>
      <c r="U26" s="13"/>
      <c r="V26" s="13"/>
      <c r="W26" s="13"/>
      <c r="X26" s="13">
        <v>11887.26</v>
      </c>
      <c r="Y26" s="64">
        <f>AE26</f>
        <v>128.29991366285344</v>
      </c>
      <c r="Z26" s="65"/>
      <c r="AA26" s="65"/>
      <c r="AB26" s="65"/>
      <c r="AC26" s="65"/>
      <c r="AD26" s="65"/>
      <c r="AE26" s="65">
        <f>AS26/AL26</f>
        <v>128.29991366285344</v>
      </c>
      <c r="AF26" s="14">
        <f>AL26</f>
        <v>92.66</v>
      </c>
      <c r="AG26" s="13"/>
      <c r="AH26" s="13"/>
      <c r="AI26" s="13"/>
      <c r="AJ26" s="13"/>
      <c r="AK26" s="109"/>
      <c r="AL26" s="109">
        <v>92.66</v>
      </c>
      <c r="AM26" s="14">
        <f>AS26</f>
        <v>11888.27</v>
      </c>
      <c r="AN26" s="13"/>
      <c r="AO26" s="13"/>
      <c r="AP26" s="13"/>
      <c r="AQ26" s="13"/>
      <c r="AR26" s="13"/>
      <c r="AS26" s="13">
        <v>11888.27</v>
      </c>
      <c r="AT26" s="57">
        <f>SUM(AU26:AZ26)</f>
        <v>-1.2829999999988333</v>
      </c>
      <c r="AU26" s="36"/>
      <c r="AV26" s="36"/>
      <c r="AW26" s="36"/>
      <c r="AX26" s="36"/>
      <c r="AY26" s="36"/>
      <c r="AZ26" s="37">
        <f>(Q26-AL26)*J26</f>
        <v>-1.2829999999988333</v>
      </c>
    </row>
    <row r="27" spans="1:65" s="29" customFormat="1" ht="43.5" customHeight="1" thickBot="1">
      <c r="A27" s="23">
        <v>3</v>
      </c>
      <c r="B27" s="24" t="s">
        <v>1</v>
      </c>
      <c r="C27" s="24" t="s">
        <v>5</v>
      </c>
      <c r="D27" s="71">
        <f aca="true" t="shared" si="19" ref="D27:J27">SUM(D28:D36)</f>
        <v>70975.278</v>
      </c>
      <c r="E27" s="71">
        <f t="shared" si="19"/>
        <v>8888.689999999999</v>
      </c>
      <c r="F27" s="71">
        <f t="shared" si="19"/>
        <v>29533.39</v>
      </c>
      <c r="G27" s="71">
        <f t="shared" si="19"/>
        <v>13719.720000000001</v>
      </c>
      <c r="H27" s="71">
        <f>SUM(H28:H36)</f>
        <v>9308.2</v>
      </c>
      <c r="I27" s="71">
        <f t="shared" si="19"/>
        <v>8209.078</v>
      </c>
      <c r="J27" s="71">
        <f t="shared" si="19"/>
        <v>1316.2</v>
      </c>
      <c r="K27" s="28">
        <f t="shared" si="18"/>
        <v>20.958056550338554</v>
      </c>
      <c r="L27" s="28">
        <f>S27/E27</f>
        <v>20.67587574771986</v>
      </c>
      <c r="M27" s="28">
        <f>T27/F27</f>
        <v>21.44415388819231</v>
      </c>
      <c r="N27" s="28">
        <f>U27/G27</f>
        <v>21.061314662398352</v>
      </c>
      <c r="O27" s="28">
        <f>O32</f>
        <v>20.91</v>
      </c>
      <c r="P27" s="28">
        <f>W27/I27</f>
        <v>19.63196354085075</v>
      </c>
      <c r="Q27" s="28">
        <f>Q33</f>
        <v>19.49</v>
      </c>
      <c r="R27" s="28">
        <f aca="true" t="shared" si="20" ref="R27:AE27">SUM(R28:R36)</f>
        <v>1487503.89</v>
      </c>
      <c r="S27" s="28">
        <f t="shared" si="20"/>
        <v>183781.45</v>
      </c>
      <c r="T27" s="28">
        <f t="shared" si="20"/>
        <v>633318.5599999999</v>
      </c>
      <c r="U27" s="28">
        <f t="shared" si="20"/>
        <v>288955.33999999997</v>
      </c>
      <c r="V27" s="28">
        <f t="shared" si="20"/>
        <v>194630.75</v>
      </c>
      <c r="W27" s="28">
        <f t="shared" si="20"/>
        <v>161160.32</v>
      </c>
      <c r="X27" s="28">
        <f t="shared" si="20"/>
        <v>25657.47</v>
      </c>
      <c r="Y27" s="60">
        <f t="shared" si="20"/>
        <v>70387.91460494934</v>
      </c>
      <c r="Z27" s="60">
        <f t="shared" si="20"/>
        <v>8715.238991619368</v>
      </c>
      <c r="AA27" s="60">
        <f t="shared" si="20"/>
        <v>29533.445930259444</v>
      </c>
      <c r="AB27" s="60">
        <f t="shared" si="20"/>
        <v>13717.597153273415</v>
      </c>
      <c r="AC27" s="60">
        <f t="shared" si="20"/>
        <v>9329.760401721665</v>
      </c>
      <c r="AD27" s="60">
        <f t="shared" si="20"/>
        <v>7784.656632949743</v>
      </c>
      <c r="AE27" s="60">
        <f t="shared" si="20"/>
        <v>1307.2154951257057</v>
      </c>
      <c r="AF27" s="28">
        <f>AM27/Y27</f>
        <v>21.83895301668607</v>
      </c>
      <c r="AG27" s="101">
        <f>AN27/Z27</f>
        <v>20.672378597218913</v>
      </c>
      <c r="AH27" s="101">
        <f>AO27/AA27</f>
        <v>23.5254027464548</v>
      </c>
      <c r="AI27" s="101">
        <f>AP27/AB27</f>
        <v>21.054926513210695</v>
      </c>
      <c r="AJ27" s="101">
        <f>AJ32</f>
        <v>20.91</v>
      </c>
      <c r="AK27" s="27">
        <f>AR27/AD27</f>
        <v>19.63625593362595</v>
      </c>
      <c r="AL27" s="101">
        <f>AL33</f>
        <v>19.49</v>
      </c>
      <c r="AM27" s="101">
        <f aca="true" t="shared" si="21" ref="AM27:AZ27">SUM(AM28:AM36)</f>
        <v>1537198.3599999999</v>
      </c>
      <c r="AN27" s="119">
        <f t="shared" si="21"/>
        <v>180164.71999999997</v>
      </c>
      <c r="AO27" s="119">
        <f t="shared" si="21"/>
        <v>694786.21</v>
      </c>
      <c r="AP27" s="119">
        <f t="shared" si="21"/>
        <v>288823</v>
      </c>
      <c r="AQ27" s="119">
        <f t="shared" si="21"/>
        <v>195085.29</v>
      </c>
      <c r="AR27" s="119">
        <f t="shared" si="21"/>
        <v>152861.51</v>
      </c>
      <c r="AS27" s="119">
        <f t="shared" si="21"/>
        <v>25477.63</v>
      </c>
      <c r="AT27" s="118">
        <f t="shared" si="21"/>
        <v>0</v>
      </c>
      <c r="AU27" s="28">
        <f t="shared" si="21"/>
        <v>0</v>
      </c>
      <c r="AV27" s="28">
        <f t="shared" si="21"/>
        <v>0</v>
      </c>
      <c r="AW27" s="28">
        <f t="shared" si="21"/>
        <v>0</v>
      </c>
      <c r="AX27" s="28">
        <f t="shared" si="21"/>
        <v>0</v>
      </c>
      <c r="AY27" s="28">
        <f t="shared" si="21"/>
        <v>0</v>
      </c>
      <c r="AZ27" s="28">
        <f t="shared" si="21"/>
        <v>0</v>
      </c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</row>
    <row r="28" spans="1:52" ht="51" customHeight="1">
      <c r="A28" s="74"/>
      <c r="B28" s="47" t="s">
        <v>20</v>
      </c>
      <c r="C28" s="32"/>
      <c r="D28" s="75">
        <f aca="true" t="shared" si="22" ref="D28:D36">SUM(E28:J28)</f>
        <v>138.2</v>
      </c>
      <c r="E28" s="76">
        <v>138.2</v>
      </c>
      <c r="F28" s="76"/>
      <c r="G28" s="76"/>
      <c r="H28" s="76"/>
      <c r="I28" s="76"/>
      <c r="J28" s="76"/>
      <c r="K28" s="14">
        <f t="shared" si="18"/>
        <v>20.819971056439947</v>
      </c>
      <c r="L28" s="37">
        <v>20.82</v>
      </c>
      <c r="M28" s="36"/>
      <c r="N28" s="36"/>
      <c r="O28" s="37"/>
      <c r="P28" s="37"/>
      <c r="Q28" s="37"/>
      <c r="R28" s="14">
        <f aca="true" t="shared" si="23" ref="R28:R36">SUM(S28:X28)</f>
        <v>2877.32</v>
      </c>
      <c r="S28" s="36">
        <v>2877.32</v>
      </c>
      <c r="T28" s="36"/>
      <c r="U28" s="36"/>
      <c r="V28" s="13"/>
      <c r="W28" s="13"/>
      <c r="X28" s="13"/>
      <c r="Y28" s="64">
        <f>SUM(Z28:AD28)</f>
        <v>138.20028818443802</v>
      </c>
      <c r="Z28" s="65">
        <f>AN28/AG28</f>
        <v>138.20028818443802</v>
      </c>
      <c r="AA28" s="65"/>
      <c r="AB28" s="65"/>
      <c r="AC28" s="65"/>
      <c r="AD28" s="65"/>
      <c r="AE28" s="65"/>
      <c r="AF28" s="14">
        <f>AG28</f>
        <v>20.82</v>
      </c>
      <c r="AG28" s="13">
        <v>20.82</v>
      </c>
      <c r="AH28" s="13"/>
      <c r="AI28" s="13"/>
      <c r="AJ28" s="13"/>
      <c r="AK28" s="13"/>
      <c r="AL28" s="13"/>
      <c r="AM28" s="14">
        <f>SUM(AN28:AR28)</f>
        <v>2877.33</v>
      </c>
      <c r="AN28" s="36">
        <v>2877.33</v>
      </c>
      <c r="AO28" s="36"/>
      <c r="AP28" s="36"/>
      <c r="AQ28" s="13"/>
      <c r="AR28" s="13"/>
      <c r="AS28" s="13"/>
      <c r="AT28" s="14">
        <f>SUM(AU28:AY28)</f>
        <v>0</v>
      </c>
      <c r="AU28" s="37">
        <f>(L28-AG28)*E28</f>
        <v>0</v>
      </c>
      <c r="AV28" s="37"/>
      <c r="AW28" s="37"/>
      <c r="AX28" s="37"/>
      <c r="AY28" s="37"/>
      <c r="AZ28" s="13"/>
    </row>
    <row r="29" spans="1:52" ht="54" customHeight="1">
      <c r="A29" s="74"/>
      <c r="B29" s="47" t="s">
        <v>21</v>
      </c>
      <c r="C29" s="48"/>
      <c r="D29" s="75">
        <f t="shared" si="22"/>
        <v>431.04</v>
      </c>
      <c r="E29" s="76"/>
      <c r="F29" s="76"/>
      <c r="G29" s="76">
        <v>431.04</v>
      </c>
      <c r="H29" s="76"/>
      <c r="I29" s="76"/>
      <c r="J29" s="76"/>
      <c r="K29" s="14">
        <f t="shared" si="18"/>
        <v>23.5</v>
      </c>
      <c r="L29" s="37"/>
      <c r="M29" s="13"/>
      <c r="N29" s="50">
        <v>23.5</v>
      </c>
      <c r="O29" s="37"/>
      <c r="P29" s="37"/>
      <c r="Q29" s="37"/>
      <c r="R29" s="14">
        <f t="shared" si="23"/>
        <v>10129.44</v>
      </c>
      <c r="S29" s="50"/>
      <c r="T29" s="50"/>
      <c r="U29" s="50">
        <v>10129.44</v>
      </c>
      <c r="V29" s="36"/>
      <c r="W29" s="36"/>
      <c r="X29" s="13"/>
      <c r="Y29" s="67">
        <f>SUM(Z29:AD29)</f>
        <v>431.0382978723404</v>
      </c>
      <c r="Z29" s="97"/>
      <c r="AA29" s="97"/>
      <c r="AB29" s="97">
        <f>AP29/AI29</f>
        <v>431.0382978723404</v>
      </c>
      <c r="AC29" s="97"/>
      <c r="AD29" s="97"/>
      <c r="AE29" s="97"/>
      <c r="AF29" s="14">
        <f>AI29</f>
        <v>23.5</v>
      </c>
      <c r="AG29" s="13"/>
      <c r="AH29" s="13"/>
      <c r="AI29" s="13">
        <v>23.5</v>
      </c>
      <c r="AJ29" s="13"/>
      <c r="AK29" s="13"/>
      <c r="AL29" s="37"/>
      <c r="AM29" s="15">
        <f>SUM(AN29:AR29)</f>
        <v>10129.4</v>
      </c>
      <c r="AN29" s="50"/>
      <c r="AO29" s="50"/>
      <c r="AP29" s="50">
        <v>10129.4</v>
      </c>
      <c r="AQ29" s="36"/>
      <c r="AR29" s="36"/>
      <c r="AS29" s="13"/>
      <c r="AT29" s="14">
        <f>SUM(AU29:AY29)</f>
        <v>0</v>
      </c>
      <c r="AU29" s="37"/>
      <c r="AV29" s="37"/>
      <c r="AW29" s="37">
        <f>(N29-AI29)*G29</f>
        <v>0</v>
      </c>
      <c r="AX29" s="37"/>
      <c r="AY29" s="37"/>
      <c r="AZ29" s="13"/>
    </row>
    <row r="30" spans="1:52" ht="59.25" customHeight="1">
      <c r="A30" s="38"/>
      <c r="B30" s="54" t="s">
        <v>39</v>
      </c>
      <c r="C30" s="40"/>
      <c r="D30" s="75">
        <f t="shared" si="22"/>
        <v>7969.07</v>
      </c>
      <c r="E30" s="76"/>
      <c r="F30" s="65">
        <v>7969.07</v>
      </c>
      <c r="G30" s="76"/>
      <c r="H30" s="76"/>
      <c r="I30" s="76"/>
      <c r="J30" s="76"/>
      <c r="K30" s="14">
        <f t="shared" si="18"/>
        <v>15.680000301164378</v>
      </c>
      <c r="L30" s="13"/>
      <c r="M30" s="37">
        <v>23.4</v>
      </c>
      <c r="N30" s="13"/>
      <c r="O30" s="37"/>
      <c r="P30" s="37"/>
      <c r="Q30" s="37"/>
      <c r="R30" s="14">
        <f t="shared" si="23"/>
        <v>124955.02</v>
      </c>
      <c r="S30" s="13"/>
      <c r="T30" s="13">
        <v>124955.02</v>
      </c>
      <c r="U30" s="13"/>
      <c r="V30" s="13"/>
      <c r="W30" s="13"/>
      <c r="X30" s="37"/>
      <c r="Y30" s="67">
        <f>SUM(Z30:AD30)</f>
        <v>7969.070085470085</v>
      </c>
      <c r="Z30" s="97"/>
      <c r="AA30" s="97">
        <f>AO30/AH30</f>
        <v>7969.070085470085</v>
      </c>
      <c r="AB30" s="97"/>
      <c r="AC30" s="97"/>
      <c r="AD30" s="97"/>
      <c r="AE30" s="97"/>
      <c r="AF30" s="14">
        <f>AH30</f>
        <v>23.4</v>
      </c>
      <c r="AG30" s="37"/>
      <c r="AH30" s="37">
        <v>23.4</v>
      </c>
      <c r="AI30" s="37"/>
      <c r="AJ30" s="37"/>
      <c r="AK30" s="37"/>
      <c r="AL30" s="37"/>
      <c r="AM30" s="15">
        <f>SUM(AN30:AR30)</f>
        <v>186476.24</v>
      </c>
      <c r="AN30" s="13"/>
      <c r="AO30" s="13">
        <f>186142.86+333.38</f>
        <v>186476.24</v>
      </c>
      <c r="AP30" s="13"/>
      <c r="AQ30" s="13"/>
      <c r="AR30" s="13"/>
      <c r="AS30" s="37"/>
      <c r="AT30" s="15">
        <f>SUM(AU30:AY30)</f>
        <v>0</v>
      </c>
      <c r="AU30" s="37"/>
      <c r="AV30" s="37">
        <f>(M30-AH30)*F30</f>
        <v>0</v>
      </c>
      <c r="AW30" s="37"/>
      <c r="AX30" s="37"/>
      <c r="AY30" s="37"/>
      <c r="AZ30" s="13"/>
    </row>
    <row r="31" spans="1:52" ht="35.25" customHeight="1">
      <c r="A31" s="38"/>
      <c r="B31" s="39" t="s">
        <v>22</v>
      </c>
      <c r="C31" s="40"/>
      <c r="D31" s="75">
        <f t="shared" si="22"/>
        <v>119.9</v>
      </c>
      <c r="E31" s="76"/>
      <c r="F31" s="76"/>
      <c r="G31" s="77">
        <v>119.9</v>
      </c>
      <c r="H31" s="76"/>
      <c r="I31" s="76"/>
      <c r="J31" s="76"/>
      <c r="K31" s="14">
        <f t="shared" si="18"/>
        <v>28.95721434528774</v>
      </c>
      <c r="L31" s="13"/>
      <c r="M31" s="122"/>
      <c r="N31" s="13">
        <v>28.96</v>
      </c>
      <c r="O31" s="13"/>
      <c r="P31" s="13"/>
      <c r="Q31" s="13"/>
      <c r="R31" s="14">
        <f t="shared" si="23"/>
        <v>3471.97</v>
      </c>
      <c r="S31" s="13"/>
      <c r="T31" s="13"/>
      <c r="U31" s="13">
        <v>3471.97</v>
      </c>
      <c r="V31" s="13"/>
      <c r="W31" s="13"/>
      <c r="X31" s="13"/>
      <c r="Y31" s="64">
        <f>SUM(Z31:AD31)</f>
        <v>108.28004143646409</v>
      </c>
      <c r="Z31" s="65"/>
      <c r="AA31" s="65"/>
      <c r="AB31" s="65">
        <f>AP31/AI31</f>
        <v>108.28004143646409</v>
      </c>
      <c r="AC31" s="65"/>
      <c r="AD31" s="65"/>
      <c r="AE31" s="65"/>
      <c r="AF31" s="14">
        <f>AI31</f>
        <v>28.96</v>
      </c>
      <c r="AG31" s="13"/>
      <c r="AH31" s="13"/>
      <c r="AI31" s="13">
        <v>28.96</v>
      </c>
      <c r="AJ31" s="13"/>
      <c r="AK31" s="13"/>
      <c r="AL31" s="13"/>
      <c r="AM31" s="14">
        <f>SUM(AN31:AR31)</f>
        <v>3135.79</v>
      </c>
      <c r="AN31" s="13"/>
      <c r="AO31" s="13"/>
      <c r="AP31" s="13">
        <v>3135.79</v>
      </c>
      <c r="AQ31" s="13"/>
      <c r="AR31" s="13"/>
      <c r="AS31" s="13"/>
      <c r="AT31" s="15">
        <f>SUM(AU31:AY31)</f>
        <v>0</v>
      </c>
      <c r="AU31" s="37"/>
      <c r="AV31" s="37"/>
      <c r="AW31" s="37">
        <f>(N31-AI31)*G31</f>
        <v>0</v>
      </c>
      <c r="AX31" s="37"/>
      <c r="AY31" s="37"/>
      <c r="AZ31" s="13"/>
    </row>
    <row r="32" spans="1:52" ht="42" customHeight="1">
      <c r="A32" s="9"/>
      <c r="B32" s="43" t="s">
        <v>25</v>
      </c>
      <c r="C32" s="32"/>
      <c r="D32" s="75">
        <f t="shared" si="22"/>
        <v>41050.57</v>
      </c>
      <c r="E32" s="34">
        <v>4111.49</v>
      </c>
      <c r="F32" s="34">
        <v>7007.03</v>
      </c>
      <c r="G32" s="34">
        <v>13168.78</v>
      </c>
      <c r="H32" s="34">
        <v>9308.2</v>
      </c>
      <c r="I32" s="34">
        <v>7455.07</v>
      </c>
      <c r="J32" s="96"/>
      <c r="K32" s="120">
        <f t="shared" si="18"/>
        <v>20.62880759024783</v>
      </c>
      <c r="L32" s="36">
        <v>20.67</v>
      </c>
      <c r="M32" s="36">
        <v>20.91</v>
      </c>
      <c r="N32" s="36">
        <v>20.91</v>
      </c>
      <c r="O32" s="36">
        <v>20.91</v>
      </c>
      <c r="P32" s="36">
        <v>19.49</v>
      </c>
      <c r="Q32" s="36"/>
      <c r="R32" s="14">
        <f t="shared" si="23"/>
        <v>846824.3099999999</v>
      </c>
      <c r="S32" s="36">
        <v>84999.3</v>
      </c>
      <c r="T32" s="36">
        <v>146514.18</v>
      </c>
      <c r="U32" s="36">
        <v>275353.93</v>
      </c>
      <c r="V32" s="36">
        <v>194630.75</v>
      </c>
      <c r="W32" s="36">
        <v>145326.15</v>
      </c>
      <c r="X32" s="36"/>
      <c r="Y32" s="67">
        <f>SUM(Z32:AD32)</f>
        <v>40649.5466864575</v>
      </c>
      <c r="Z32" s="97">
        <f>AN32/AG32</f>
        <v>4103.8345428156745</v>
      </c>
      <c r="AA32" s="97">
        <f>AO32/AH32</f>
        <v>7007.024390243902</v>
      </c>
      <c r="AB32" s="97">
        <f>AP32/AI32</f>
        <v>13178.27881396461</v>
      </c>
      <c r="AC32" s="97">
        <f>AQ32/AJ32</f>
        <v>9329.760401721665</v>
      </c>
      <c r="AD32" s="97">
        <f>AR32/AK32</f>
        <v>7030.648537711648</v>
      </c>
      <c r="AE32" s="97"/>
      <c r="AF32" s="121">
        <f>AM32/Y32</f>
        <v>20.64017063884059</v>
      </c>
      <c r="AG32" s="37">
        <v>20.67</v>
      </c>
      <c r="AH32" s="37">
        <v>20.91</v>
      </c>
      <c r="AI32" s="37">
        <f>AH32</f>
        <v>20.91</v>
      </c>
      <c r="AJ32" s="37">
        <f>AH32</f>
        <v>20.91</v>
      </c>
      <c r="AK32" s="37">
        <v>19.49</v>
      </c>
      <c r="AL32" s="37"/>
      <c r="AM32" s="15">
        <f>SUM(AN32:AS32)</f>
        <v>839013.58</v>
      </c>
      <c r="AN32" s="36">
        <f>84732.29+93.97</f>
        <v>84826.26</v>
      </c>
      <c r="AO32" s="36">
        <f>83319.89+36916.73+26280.26</f>
        <v>146516.88</v>
      </c>
      <c r="AP32" s="36">
        <f>106750.53+168774.17+33.11</f>
        <v>275557.81</v>
      </c>
      <c r="AQ32" s="36">
        <f>133322.32+45977.12+15776.4+3.98+5.47</f>
        <v>195085.29</v>
      </c>
      <c r="AR32" s="36">
        <f>135984.08+1043.26</f>
        <v>137027.34</v>
      </c>
      <c r="AS32" s="37"/>
      <c r="AT32" s="15">
        <f>SUM(AU32:AY32)</f>
        <v>0</v>
      </c>
      <c r="AU32" s="37">
        <f>(L32-AG32)*E32</f>
        <v>0</v>
      </c>
      <c r="AV32" s="37">
        <f>(M32-AH32)*F32</f>
        <v>0</v>
      </c>
      <c r="AW32" s="37">
        <f>(N32-AI32)*G32</f>
        <v>0</v>
      </c>
      <c r="AX32" s="37">
        <f>(O32-AJ32)*H32</f>
        <v>0</v>
      </c>
      <c r="AY32" s="37">
        <f>(P32-AK32)*I32</f>
        <v>0</v>
      </c>
      <c r="AZ32" s="37"/>
    </row>
    <row r="33" spans="1:52" ht="84" customHeight="1">
      <c r="A33" s="74"/>
      <c r="B33" s="31" t="s">
        <v>27</v>
      </c>
      <c r="C33" s="40"/>
      <c r="D33" s="75">
        <f t="shared" si="22"/>
        <v>19890.24</v>
      </c>
      <c r="E33" s="65">
        <v>4639</v>
      </c>
      <c r="F33" s="65">
        <v>13935.04</v>
      </c>
      <c r="G33" s="76"/>
      <c r="H33" s="76"/>
      <c r="I33" s="76"/>
      <c r="J33" s="65">
        <v>1316.2</v>
      </c>
      <c r="K33" s="14">
        <f t="shared" si="18"/>
        <v>23.62951980468813</v>
      </c>
      <c r="L33" s="13">
        <v>20.67</v>
      </c>
      <c r="M33" s="13">
        <v>25</v>
      </c>
      <c r="N33" s="13"/>
      <c r="O33" s="13"/>
      <c r="P33" s="13"/>
      <c r="Q33" s="13">
        <v>19.49</v>
      </c>
      <c r="R33" s="14">
        <f t="shared" si="23"/>
        <v>469996.82000000007</v>
      </c>
      <c r="S33" s="13">
        <v>95904.83</v>
      </c>
      <c r="T33" s="13">
        <v>348434.52</v>
      </c>
      <c r="U33" s="13"/>
      <c r="V33" s="13"/>
      <c r="W33" s="13"/>
      <c r="X33" s="13">
        <v>25657.47</v>
      </c>
      <c r="Y33" s="64">
        <f>SUM(Z33:AE33)</f>
        <v>19715.475655744962</v>
      </c>
      <c r="Z33" s="65">
        <f>AN33/AG33</f>
        <v>4473.204160619254</v>
      </c>
      <c r="AA33" s="65">
        <f>AO33/AH33</f>
        <v>13935.056</v>
      </c>
      <c r="AB33" s="65"/>
      <c r="AC33" s="65"/>
      <c r="AD33" s="65"/>
      <c r="AE33" s="65">
        <f>AS33/AL33</f>
        <v>1307.2154951257057</v>
      </c>
      <c r="AF33" s="14">
        <f>AM33/Y33</f>
        <v>23.652239902419947</v>
      </c>
      <c r="AG33" s="13">
        <v>20.67</v>
      </c>
      <c r="AH33" s="13">
        <v>25</v>
      </c>
      <c r="AI33" s="13"/>
      <c r="AJ33" s="13"/>
      <c r="AK33" s="13"/>
      <c r="AL33" s="37">
        <v>19.49</v>
      </c>
      <c r="AM33" s="15">
        <f>SUM(AN33:AS33)</f>
        <v>466315.16000000003</v>
      </c>
      <c r="AN33" s="13">
        <f>92335.15+125.98</f>
        <v>92461.12999999999</v>
      </c>
      <c r="AO33" s="13">
        <f>279052.06+68920.2+404.14</f>
        <v>348376.4</v>
      </c>
      <c r="AP33" s="13"/>
      <c r="AQ33" s="13"/>
      <c r="AR33" s="13"/>
      <c r="AS33" s="37">
        <v>25477.63</v>
      </c>
      <c r="AT33" s="14">
        <f>SUM(AU33:AZ33)</f>
        <v>0</v>
      </c>
      <c r="AU33" s="37">
        <f>(L33-AG33)*E33</f>
        <v>0</v>
      </c>
      <c r="AV33" s="37">
        <f>(M33-AH33)*F33</f>
        <v>0</v>
      </c>
      <c r="AW33" s="37"/>
      <c r="AX33" s="37"/>
      <c r="AY33" s="37"/>
      <c r="AZ33" s="37">
        <f>(Q33-AL33)*J33</f>
        <v>0</v>
      </c>
    </row>
    <row r="34" spans="1:52" ht="39.75" customHeight="1">
      <c r="A34" s="38"/>
      <c r="B34" s="39" t="s">
        <v>23</v>
      </c>
      <c r="C34" s="40"/>
      <c r="D34" s="75">
        <f t="shared" si="22"/>
        <v>622.25</v>
      </c>
      <c r="E34" s="76"/>
      <c r="F34" s="65">
        <v>622.25</v>
      </c>
      <c r="G34" s="76"/>
      <c r="H34" s="76"/>
      <c r="I34" s="76"/>
      <c r="J34" s="76"/>
      <c r="K34" s="14">
        <f t="shared" si="18"/>
        <v>21.55860184813178</v>
      </c>
      <c r="L34" s="13"/>
      <c r="M34" s="13">
        <v>21.56</v>
      </c>
      <c r="N34" s="13"/>
      <c r="O34" s="37"/>
      <c r="P34" s="37"/>
      <c r="Q34" s="37"/>
      <c r="R34" s="14">
        <f t="shared" si="23"/>
        <v>13414.84</v>
      </c>
      <c r="S34" s="13"/>
      <c r="T34" s="13">
        <v>13414.84</v>
      </c>
      <c r="U34" s="13"/>
      <c r="V34" s="13"/>
      <c r="W34" s="13"/>
      <c r="X34" s="13"/>
      <c r="Y34" s="67">
        <f>SUM(Z34:AD34)</f>
        <v>622.2954545454546</v>
      </c>
      <c r="Z34" s="97"/>
      <c r="AA34" s="97">
        <f>AO34/AH34</f>
        <v>622.2954545454546</v>
      </c>
      <c r="AB34" s="97"/>
      <c r="AC34" s="97"/>
      <c r="AD34" s="97"/>
      <c r="AE34" s="97"/>
      <c r="AF34" s="14">
        <f>AH34</f>
        <v>21.56</v>
      </c>
      <c r="AG34" s="37"/>
      <c r="AH34" s="37">
        <v>21.56</v>
      </c>
      <c r="AI34" s="37"/>
      <c r="AJ34" s="37"/>
      <c r="AK34" s="37"/>
      <c r="AL34" s="37"/>
      <c r="AM34" s="15">
        <f>SUM(AN34:AR34)</f>
        <v>13416.69</v>
      </c>
      <c r="AN34" s="13"/>
      <c r="AO34" s="13">
        <v>13416.69</v>
      </c>
      <c r="AP34" s="13"/>
      <c r="AQ34" s="13"/>
      <c r="AR34" s="13"/>
      <c r="AS34" s="37"/>
      <c r="AT34" s="14">
        <f>SUM(AU34:AZ34)</f>
        <v>0</v>
      </c>
      <c r="AU34" s="37"/>
      <c r="AV34" s="37">
        <f>(M34-AH34)*F34</f>
        <v>0</v>
      </c>
      <c r="AW34" s="37"/>
      <c r="AX34" s="37"/>
      <c r="AY34" s="37"/>
      <c r="AZ34" s="13"/>
    </row>
    <row r="35" spans="1:52" ht="39.75" customHeight="1" hidden="1">
      <c r="A35" s="38"/>
      <c r="B35" s="39" t="s">
        <v>44</v>
      </c>
      <c r="C35" s="40"/>
      <c r="D35" s="75">
        <f t="shared" si="22"/>
        <v>0</v>
      </c>
      <c r="E35" s="76"/>
      <c r="F35" s="76"/>
      <c r="G35" s="76"/>
      <c r="H35" s="76"/>
      <c r="I35" s="76"/>
      <c r="J35" s="76"/>
      <c r="K35" s="14" t="e">
        <f t="shared" si="18"/>
        <v>#DIV/0!</v>
      </c>
      <c r="L35" s="13"/>
      <c r="M35" s="37"/>
      <c r="N35" s="13"/>
      <c r="O35" s="37"/>
      <c r="P35" s="37"/>
      <c r="Q35" s="37"/>
      <c r="R35" s="14">
        <f t="shared" si="23"/>
        <v>0</v>
      </c>
      <c r="S35" s="13"/>
      <c r="T35" s="13"/>
      <c r="U35" s="13"/>
      <c r="V35" s="13"/>
      <c r="W35" s="13"/>
      <c r="X35" s="37"/>
      <c r="Y35" s="67">
        <f>SUM(Z35:AD35)</f>
        <v>0</v>
      </c>
      <c r="Z35" s="97"/>
      <c r="AA35" s="97"/>
      <c r="AB35" s="97"/>
      <c r="AC35" s="97"/>
      <c r="AD35" s="97"/>
      <c r="AE35" s="97"/>
      <c r="AF35" s="14">
        <f>AJ35</f>
        <v>0</v>
      </c>
      <c r="AG35" s="37"/>
      <c r="AH35" s="37"/>
      <c r="AI35" s="37"/>
      <c r="AJ35" s="139"/>
      <c r="AK35" s="37"/>
      <c r="AL35" s="37"/>
      <c r="AM35" s="15">
        <f>SUM(AN35:AR35)</f>
        <v>0</v>
      </c>
      <c r="AN35" s="13"/>
      <c r="AO35" s="13"/>
      <c r="AP35" s="13"/>
      <c r="AQ35" s="13"/>
      <c r="AR35" s="13"/>
      <c r="AS35" s="37"/>
      <c r="AT35" s="14">
        <f>SUM(AU35:AZ35)</f>
        <v>0</v>
      </c>
      <c r="AU35" s="37"/>
      <c r="AV35" s="37"/>
      <c r="AW35" s="37"/>
      <c r="AX35" s="37"/>
      <c r="AY35" s="37"/>
      <c r="AZ35" s="13"/>
    </row>
    <row r="36" spans="1:52" ht="43.5" customHeight="1" thickBot="1">
      <c r="A36" s="78"/>
      <c r="B36" s="79" t="s">
        <v>26</v>
      </c>
      <c r="C36" s="80"/>
      <c r="D36" s="75">
        <f t="shared" si="22"/>
        <v>754.008</v>
      </c>
      <c r="E36" s="81"/>
      <c r="F36" s="81"/>
      <c r="G36" s="81"/>
      <c r="H36" s="81"/>
      <c r="I36" s="34">
        <v>754.008</v>
      </c>
      <c r="J36" s="96"/>
      <c r="K36" s="82">
        <f t="shared" si="18"/>
        <v>21.000002652491748</v>
      </c>
      <c r="L36" s="83"/>
      <c r="M36" s="83"/>
      <c r="N36" s="83"/>
      <c r="O36" s="83"/>
      <c r="P36" s="84">
        <v>21</v>
      </c>
      <c r="Q36" s="84"/>
      <c r="R36" s="14">
        <f t="shared" si="23"/>
        <v>15834.17</v>
      </c>
      <c r="S36" s="83"/>
      <c r="T36" s="83"/>
      <c r="U36" s="83"/>
      <c r="V36" s="83"/>
      <c r="W36" s="83">
        <v>15834.17</v>
      </c>
      <c r="X36" s="84"/>
      <c r="Y36" s="87">
        <f>SUM(Z36:AD36)</f>
        <v>754.0080952380953</v>
      </c>
      <c r="Z36" s="99"/>
      <c r="AA36" s="99"/>
      <c r="AB36" s="99"/>
      <c r="AC36" s="99"/>
      <c r="AD36" s="99">
        <f>AR36/AK36</f>
        <v>754.0080952380953</v>
      </c>
      <c r="AE36" s="99"/>
      <c r="AF36" s="85">
        <f>AK36</f>
        <v>21</v>
      </c>
      <c r="AG36" s="84"/>
      <c r="AH36" s="84"/>
      <c r="AI36" s="84"/>
      <c r="AJ36" s="84"/>
      <c r="AK36" s="84">
        <v>21</v>
      </c>
      <c r="AL36" s="84"/>
      <c r="AM36" s="86">
        <f>SUM(AN36:AR36)</f>
        <v>15834.17</v>
      </c>
      <c r="AN36" s="83"/>
      <c r="AO36" s="83"/>
      <c r="AP36" s="83"/>
      <c r="AQ36" s="83"/>
      <c r="AR36" s="83">
        <v>15834.17</v>
      </c>
      <c r="AS36" s="84"/>
      <c r="AT36" s="14">
        <f>SUM(AU36:AZ36)</f>
        <v>0</v>
      </c>
      <c r="AU36" s="36"/>
      <c r="AV36" s="36"/>
      <c r="AW36" s="36"/>
      <c r="AX36" s="36"/>
      <c r="AY36" s="37">
        <f>(P36-AK36)*I36</f>
        <v>0</v>
      </c>
      <c r="AZ36" s="50"/>
    </row>
    <row r="37" spans="1:65" s="29" customFormat="1" ht="36.75" customHeight="1" thickBot="1">
      <c r="A37" s="23">
        <v>4</v>
      </c>
      <c r="B37" s="24" t="s">
        <v>3</v>
      </c>
      <c r="C37" s="24" t="s">
        <v>5</v>
      </c>
      <c r="D37" s="59">
        <f aca="true" t="shared" si="24" ref="D37:J37">SUM(D38:D46)</f>
        <v>89507.88123689727</v>
      </c>
      <c r="E37" s="27">
        <f t="shared" si="24"/>
        <v>9167.17</v>
      </c>
      <c r="F37" s="27">
        <f t="shared" si="24"/>
        <v>37774.95679245283</v>
      </c>
      <c r="G37" s="27">
        <f t="shared" si="24"/>
        <v>20701.67</v>
      </c>
      <c r="H37" s="27">
        <f t="shared" si="24"/>
        <v>9792.45</v>
      </c>
      <c r="I37" s="27">
        <f t="shared" si="24"/>
        <v>12071.634444444444</v>
      </c>
      <c r="J37" s="27">
        <f t="shared" si="24"/>
        <v>0</v>
      </c>
      <c r="K37" s="28">
        <f t="shared" si="18"/>
        <v>20.256386755500525</v>
      </c>
      <c r="L37" s="28">
        <f>S37/E37</f>
        <v>17.700000109084918</v>
      </c>
      <c r="M37" s="28">
        <f>T37/F37</f>
        <v>22.39564838282022</v>
      </c>
      <c r="N37" s="28">
        <f>U37/G37</f>
        <v>20.127648155921722</v>
      </c>
      <c r="O37" s="28">
        <f>V37/H37</f>
        <v>17.45653641325715</v>
      </c>
      <c r="P37" s="28">
        <f>W37/I37</f>
        <v>17.995451320179324</v>
      </c>
      <c r="Q37" s="28"/>
      <c r="R37" s="27">
        <f aca="true" t="shared" si="25" ref="R37:AE37">SUM(R38:R46)</f>
        <v>1813106.2599999998</v>
      </c>
      <c r="S37" s="61">
        <f t="shared" si="25"/>
        <v>162258.90999999997</v>
      </c>
      <c r="T37" s="61">
        <f t="shared" si="25"/>
        <v>845994.6499999999</v>
      </c>
      <c r="U37" s="61">
        <f t="shared" si="25"/>
        <v>416675.93</v>
      </c>
      <c r="V37" s="61">
        <f t="shared" si="25"/>
        <v>170942.26</v>
      </c>
      <c r="W37" s="61">
        <f t="shared" si="25"/>
        <v>217234.50999999998</v>
      </c>
      <c r="X37" s="61">
        <f t="shared" si="25"/>
        <v>0</v>
      </c>
      <c r="Y37" s="59">
        <f t="shared" si="25"/>
        <v>90447.271191987</v>
      </c>
      <c r="Z37" s="59">
        <f t="shared" si="25"/>
        <v>9198.140677966101</v>
      </c>
      <c r="AA37" s="59">
        <f t="shared" si="25"/>
        <v>38469.733</v>
      </c>
      <c r="AB37" s="59">
        <f t="shared" si="25"/>
        <v>20785.112490888263</v>
      </c>
      <c r="AC37" s="59">
        <f t="shared" si="25"/>
        <v>10338.295023132652</v>
      </c>
      <c r="AD37" s="59">
        <f t="shared" si="25"/>
        <v>11655.99</v>
      </c>
      <c r="AE37" s="59">
        <f t="shared" si="25"/>
        <v>0</v>
      </c>
      <c r="AF37" s="86">
        <f>AM37/Y37</f>
        <v>20.24281126307994</v>
      </c>
      <c r="AG37" s="101">
        <f>AG40</f>
        <v>17.7</v>
      </c>
      <c r="AH37" s="101">
        <f>AO37/AA37</f>
        <v>22.347925835617318</v>
      </c>
      <c r="AI37" s="101">
        <f>AP37/AB37</f>
        <v>20.12594640434986</v>
      </c>
      <c r="AJ37" s="101">
        <f>AQ37/AC37</f>
        <v>17.435498754550018</v>
      </c>
      <c r="AK37" s="27">
        <f>AK40</f>
        <v>18</v>
      </c>
      <c r="AL37" s="27"/>
      <c r="AM37" s="27">
        <f aca="true" t="shared" si="26" ref="AM37:AZ37">SUM(AM38:AM46)</f>
        <v>1830907.0400000003</v>
      </c>
      <c r="AN37" s="27">
        <f t="shared" si="26"/>
        <v>162807.09</v>
      </c>
      <c r="AO37" s="27">
        <f t="shared" si="26"/>
        <v>859718.7400000001</v>
      </c>
      <c r="AP37" s="27">
        <f t="shared" si="26"/>
        <v>418320.06</v>
      </c>
      <c r="AQ37" s="27">
        <f t="shared" si="26"/>
        <v>180253.33000000002</v>
      </c>
      <c r="AR37" s="27">
        <f t="shared" si="26"/>
        <v>209807.81999999998</v>
      </c>
      <c r="AS37" s="27">
        <f t="shared" si="26"/>
        <v>0</v>
      </c>
      <c r="AT37" s="118">
        <f t="shared" si="26"/>
        <v>-109.81550000001715</v>
      </c>
      <c r="AU37" s="27">
        <f t="shared" si="26"/>
        <v>0</v>
      </c>
      <c r="AV37" s="27">
        <f t="shared" si="26"/>
        <v>0</v>
      </c>
      <c r="AW37" s="27">
        <f t="shared" si="26"/>
        <v>0</v>
      </c>
      <c r="AX37" s="27">
        <f t="shared" si="26"/>
        <v>0</v>
      </c>
      <c r="AY37" s="27">
        <f t="shared" si="26"/>
        <v>-109.81550000001715</v>
      </c>
      <c r="AZ37" s="27">
        <f t="shared" si="26"/>
        <v>0</v>
      </c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</row>
    <row r="38" spans="1:52" s="4" customFormat="1" ht="56.25" customHeight="1">
      <c r="A38" s="123"/>
      <c r="B38" s="124" t="s">
        <v>39</v>
      </c>
      <c r="C38" s="72"/>
      <c r="D38" s="63">
        <f>SUM(E38:I38)</f>
        <v>13972.46679245283</v>
      </c>
      <c r="E38" s="37"/>
      <c r="F38" s="37">
        <f>T38/M38</f>
        <v>13972.46679245283</v>
      </c>
      <c r="G38" s="37"/>
      <c r="H38" s="37"/>
      <c r="I38" s="37"/>
      <c r="J38" s="37"/>
      <c r="K38" s="63">
        <f t="shared" si="18"/>
        <v>26.5</v>
      </c>
      <c r="L38" s="73"/>
      <c r="M38" s="145">
        <v>26.5</v>
      </c>
      <c r="N38" s="73"/>
      <c r="O38" s="73"/>
      <c r="P38" s="73"/>
      <c r="Q38" s="37"/>
      <c r="R38" s="15">
        <f>SUM(S38:W38)</f>
        <v>370270.37</v>
      </c>
      <c r="S38" s="13"/>
      <c r="T38" s="13">
        <v>370270.37</v>
      </c>
      <c r="U38" s="13"/>
      <c r="V38" s="13"/>
      <c r="W38" s="13"/>
      <c r="X38" s="13"/>
      <c r="Y38" s="67">
        <f>SUM(Z38:AD38)</f>
        <v>13972.467</v>
      </c>
      <c r="Z38" s="97"/>
      <c r="AA38" s="97">
        <f>ROUND(AO38/AH38,3)</f>
        <v>13972.467</v>
      </c>
      <c r="AB38" s="97"/>
      <c r="AC38" s="97"/>
      <c r="AD38" s="97"/>
      <c r="AE38" s="97"/>
      <c r="AF38" s="14">
        <f>AH38</f>
        <v>26.5</v>
      </c>
      <c r="AG38" s="37"/>
      <c r="AH38" s="37">
        <v>26.5</v>
      </c>
      <c r="AI38" s="13"/>
      <c r="AJ38" s="13"/>
      <c r="AK38" s="13"/>
      <c r="AL38" s="37"/>
      <c r="AM38" s="15">
        <f>SUM(AN38:AR38)</f>
        <v>370270.37000000005</v>
      </c>
      <c r="AN38" s="13"/>
      <c r="AO38" s="13">
        <f>350851.28+19419.09</f>
        <v>370270.37000000005</v>
      </c>
      <c r="AP38" s="13"/>
      <c r="AQ38" s="13"/>
      <c r="AR38" s="13"/>
      <c r="AS38" s="13"/>
      <c r="AT38" s="15">
        <f>SUM(AU38:AY38)</f>
        <v>0</v>
      </c>
      <c r="AU38" s="37"/>
      <c r="AV38" s="37">
        <f>(M38-AH38)*F38</f>
        <v>0</v>
      </c>
      <c r="AW38" s="37"/>
      <c r="AX38" s="37"/>
      <c r="AY38" s="37"/>
      <c r="AZ38" s="13"/>
    </row>
    <row r="39" spans="1:52" ht="45.75" customHeight="1">
      <c r="A39" s="38"/>
      <c r="B39" s="39" t="s">
        <v>24</v>
      </c>
      <c r="C39" s="40"/>
      <c r="D39" s="14">
        <f>SUM(E39:I39)</f>
        <v>728.48</v>
      </c>
      <c r="E39" s="13"/>
      <c r="F39" s="13"/>
      <c r="G39" s="13">
        <v>728.48</v>
      </c>
      <c r="H39" s="13"/>
      <c r="I39" s="13"/>
      <c r="J39" s="13"/>
      <c r="K39" s="14">
        <f t="shared" si="18"/>
        <v>29.100002745442566</v>
      </c>
      <c r="L39" s="13"/>
      <c r="M39" s="13"/>
      <c r="N39" s="13">
        <v>29.1</v>
      </c>
      <c r="O39" s="13"/>
      <c r="P39" s="13"/>
      <c r="Q39" s="13"/>
      <c r="R39" s="14">
        <f>SUM(S39:W39)</f>
        <v>21198.77</v>
      </c>
      <c r="S39" s="13"/>
      <c r="T39" s="13"/>
      <c r="U39" s="13">
        <v>21198.77</v>
      </c>
      <c r="V39" s="13"/>
      <c r="W39" s="13"/>
      <c r="X39" s="13"/>
      <c r="Y39" s="64">
        <f>SUM(Z39:AD39)</f>
        <v>728.4766323024054</v>
      </c>
      <c r="Z39" s="65"/>
      <c r="AA39" s="65"/>
      <c r="AB39" s="65">
        <f>AP39/AI39</f>
        <v>728.4766323024054</v>
      </c>
      <c r="AC39" s="65"/>
      <c r="AD39" s="65"/>
      <c r="AE39" s="97"/>
      <c r="AF39" s="14">
        <f>AI39</f>
        <v>29.1</v>
      </c>
      <c r="AG39" s="127"/>
      <c r="AH39" s="13"/>
      <c r="AI39" s="127">
        <v>29.1</v>
      </c>
      <c r="AJ39" s="13"/>
      <c r="AK39" s="13"/>
      <c r="AL39" s="13"/>
      <c r="AM39" s="14">
        <f>SUM(AN39:AR39)</f>
        <v>21198.67</v>
      </c>
      <c r="AN39" s="13"/>
      <c r="AO39" s="13"/>
      <c r="AP39" s="13">
        <f>12543.21+8655.46</f>
        <v>21198.67</v>
      </c>
      <c r="AQ39" s="13"/>
      <c r="AR39" s="13"/>
      <c r="AS39" s="13"/>
      <c r="AT39" s="15">
        <f>SUM(AU39:AY39)</f>
        <v>0</v>
      </c>
      <c r="AU39" s="37"/>
      <c r="AV39" s="37"/>
      <c r="AW39" s="37">
        <f>(N39-AI39)*G39</f>
        <v>0</v>
      </c>
      <c r="AX39" s="37"/>
      <c r="AY39" s="37"/>
      <c r="AZ39" s="13"/>
    </row>
    <row r="40" spans="1:52" ht="46.5" customHeight="1">
      <c r="A40" s="9"/>
      <c r="B40" s="43" t="s">
        <v>25</v>
      </c>
      <c r="C40" s="10"/>
      <c r="D40" s="15">
        <f aca="true" t="shared" si="27" ref="D40:D46">SUM(E40:I40)</f>
        <v>42802.24</v>
      </c>
      <c r="E40" s="34">
        <v>4004.55</v>
      </c>
      <c r="F40" s="34">
        <v>1741.39</v>
      </c>
      <c r="G40" s="34">
        <v>19973.19</v>
      </c>
      <c r="H40" s="34">
        <v>6101.56</v>
      </c>
      <c r="I40" s="34">
        <v>10981.55</v>
      </c>
      <c r="J40" s="96"/>
      <c r="K40" s="120">
        <f t="shared" si="18"/>
        <v>19.14068609493335</v>
      </c>
      <c r="L40" s="37">
        <v>17.7</v>
      </c>
      <c r="M40" s="37">
        <v>19.8</v>
      </c>
      <c r="N40" s="37">
        <f>M40</f>
        <v>19.8</v>
      </c>
      <c r="O40" s="37">
        <f>N40</f>
        <v>19.8</v>
      </c>
      <c r="P40" s="37">
        <v>17.99</v>
      </c>
      <c r="Q40" s="37"/>
      <c r="R40" s="15">
        <f aca="true" t="shared" si="28" ref="R40:R46">SUM(S40:W40)</f>
        <v>819264.24</v>
      </c>
      <c r="S40" s="37">
        <v>70880.54</v>
      </c>
      <c r="T40" s="37">
        <v>34480.22</v>
      </c>
      <c r="U40" s="37">
        <v>395477.16</v>
      </c>
      <c r="V40" s="37">
        <v>120813.33</v>
      </c>
      <c r="W40" s="37">
        <v>197612.99</v>
      </c>
      <c r="X40" s="37"/>
      <c r="Y40" s="67">
        <f aca="true" t="shared" si="29" ref="Y40:Y46">SUM(Z40:AD40)</f>
        <v>43383.579723163835</v>
      </c>
      <c r="Z40" s="97">
        <f>AN40/AG40</f>
        <v>4207.003389830509</v>
      </c>
      <c r="AA40" s="97">
        <f>ROUND(AO40/AH40,3)</f>
        <v>2435.193</v>
      </c>
      <c r="AB40" s="97">
        <f>AP40/AI40</f>
        <v>20056.635858585858</v>
      </c>
      <c r="AC40" s="97">
        <f>AQ40/AJ40</f>
        <v>6118.841919191919</v>
      </c>
      <c r="AD40" s="97">
        <f>AR40/AK40</f>
        <v>10565.905555555555</v>
      </c>
      <c r="AE40" s="97"/>
      <c r="AF40" s="15">
        <f>AM40/Y40</f>
        <v>19.157975328537212</v>
      </c>
      <c r="AG40" s="37">
        <v>17.7</v>
      </c>
      <c r="AH40" s="37">
        <v>19.8</v>
      </c>
      <c r="AI40" s="37">
        <f>AH40</f>
        <v>19.8</v>
      </c>
      <c r="AJ40" s="37">
        <f>AH40</f>
        <v>19.8</v>
      </c>
      <c r="AK40" s="37">
        <v>18</v>
      </c>
      <c r="AL40" s="37"/>
      <c r="AM40" s="15">
        <f aca="true" t="shared" si="30" ref="AM40:AM46">SUM(AN40:AR40)</f>
        <v>831141.55</v>
      </c>
      <c r="AN40" s="37">
        <f>74463.96</f>
        <v>74463.96</v>
      </c>
      <c r="AO40" s="37">
        <f>13301.73+22983.74+11931.36</f>
        <v>48216.83</v>
      </c>
      <c r="AP40" s="37">
        <f>99506.55+156616.63+59605.76+81392.45</f>
        <v>397121.39</v>
      </c>
      <c r="AQ40" s="37">
        <f>121153.07</f>
        <v>121153.07</v>
      </c>
      <c r="AR40" s="37">
        <f>126249.43+63936.87</f>
        <v>190186.3</v>
      </c>
      <c r="AS40" s="37"/>
      <c r="AT40" s="15">
        <f aca="true" t="shared" si="31" ref="AT40:AT46">SUM(AU40:AY40)</f>
        <v>-109.81550000001715</v>
      </c>
      <c r="AU40" s="37">
        <f>(L40-AG40)*E40</f>
        <v>0</v>
      </c>
      <c r="AV40" s="37">
        <f>(M40-AH40)*F40</f>
        <v>0</v>
      </c>
      <c r="AW40" s="37">
        <f>(N40-AI40)*G40</f>
        <v>0</v>
      </c>
      <c r="AX40" s="37">
        <f>(O40-AJ40)*H40</f>
        <v>0</v>
      </c>
      <c r="AY40" s="37">
        <f>(P40-AK40)*I40</f>
        <v>-109.81550000001715</v>
      </c>
      <c r="AZ40" s="37"/>
    </row>
    <row r="41" spans="1:52" ht="47.25" customHeight="1">
      <c r="A41" s="38"/>
      <c r="B41" s="43" t="s">
        <v>29</v>
      </c>
      <c r="C41" s="10"/>
      <c r="D41" s="15">
        <f t="shared" si="27"/>
        <v>3690.89</v>
      </c>
      <c r="E41" s="13"/>
      <c r="F41" s="13"/>
      <c r="G41" s="13"/>
      <c r="H41" s="65">
        <v>3690.89</v>
      </c>
      <c r="I41" s="13"/>
      <c r="J41" s="13"/>
      <c r="K41" s="14">
        <f t="shared" si="18"/>
        <v>13.581800053645598</v>
      </c>
      <c r="L41" s="37"/>
      <c r="M41" s="37"/>
      <c r="N41" s="37"/>
      <c r="O41" s="37">
        <v>13.58</v>
      </c>
      <c r="P41" s="37"/>
      <c r="Q41" s="37"/>
      <c r="R41" s="15">
        <f t="shared" si="28"/>
        <v>50128.93</v>
      </c>
      <c r="S41" s="13"/>
      <c r="T41" s="13"/>
      <c r="U41" s="13"/>
      <c r="V41" s="13">
        <v>50128.93</v>
      </c>
      <c r="W41" s="13"/>
      <c r="X41" s="37"/>
      <c r="Y41" s="67">
        <f t="shared" si="29"/>
        <v>3930.0500736377026</v>
      </c>
      <c r="Z41" s="97"/>
      <c r="AA41" s="65"/>
      <c r="AB41" s="97"/>
      <c r="AC41" s="97">
        <f>AQ41/AJ41</f>
        <v>3930.0500736377026</v>
      </c>
      <c r="AD41" s="97"/>
      <c r="AE41" s="97"/>
      <c r="AF41" s="14">
        <f>AJ41</f>
        <v>13.58</v>
      </c>
      <c r="AG41" s="37"/>
      <c r="AH41" s="37"/>
      <c r="AI41" s="13"/>
      <c r="AJ41" s="13">
        <v>13.58</v>
      </c>
      <c r="AK41" s="13"/>
      <c r="AL41" s="37"/>
      <c r="AM41" s="15">
        <f t="shared" si="30"/>
        <v>53370.08</v>
      </c>
      <c r="AN41" s="13"/>
      <c r="AO41" s="13"/>
      <c r="AP41" s="13"/>
      <c r="AQ41" s="13">
        <f>28335.65+12534.68+12499.75</f>
        <v>53370.08</v>
      </c>
      <c r="AR41" s="13"/>
      <c r="AS41" s="37"/>
      <c r="AT41" s="15">
        <f t="shared" si="31"/>
        <v>0</v>
      </c>
      <c r="AU41" s="37"/>
      <c r="AV41" s="37"/>
      <c r="AW41" s="37"/>
      <c r="AX41" s="37"/>
      <c r="AY41" s="37"/>
      <c r="AZ41" s="13"/>
    </row>
    <row r="42" spans="1:52" ht="47.25" customHeight="1">
      <c r="A42" s="38"/>
      <c r="B42" s="43" t="s">
        <v>55</v>
      </c>
      <c r="C42" s="10"/>
      <c r="D42" s="15">
        <f>F42</f>
        <v>0</v>
      </c>
      <c r="E42" s="37"/>
      <c r="F42" s="37">
        <f>T42/M42</f>
        <v>0</v>
      </c>
      <c r="G42" s="37"/>
      <c r="H42" s="97"/>
      <c r="I42" s="37"/>
      <c r="J42" s="37"/>
      <c r="K42" s="14" t="e">
        <f t="shared" si="18"/>
        <v>#DIV/0!</v>
      </c>
      <c r="L42" s="37"/>
      <c r="M42" s="37">
        <v>13.58</v>
      </c>
      <c r="N42" s="37"/>
      <c r="O42" s="37"/>
      <c r="P42" s="37"/>
      <c r="Q42" s="37"/>
      <c r="R42" s="15">
        <f>T42</f>
        <v>0</v>
      </c>
      <c r="S42" s="13"/>
      <c r="T42" s="13"/>
      <c r="U42" s="13"/>
      <c r="V42" s="13"/>
      <c r="W42" s="13"/>
      <c r="X42" s="37"/>
      <c r="Y42" s="67">
        <f>AA42</f>
        <v>1</v>
      </c>
      <c r="Z42" s="97"/>
      <c r="AA42" s="97">
        <f>AO42/AH42</f>
        <v>1</v>
      </c>
      <c r="AB42" s="97"/>
      <c r="AC42" s="97"/>
      <c r="AD42" s="97"/>
      <c r="AE42" s="97"/>
      <c r="AF42" s="14">
        <f>AH42</f>
        <v>19.8</v>
      </c>
      <c r="AG42" s="37"/>
      <c r="AH42" s="37">
        <v>19.8</v>
      </c>
      <c r="AI42" s="13"/>
      <c r="AJ42" s="13"/>
      <c r="AK42" s="13"/>
      <c r="AL42" s="37"/>
      <c r="AM42" s="15">
        <f>AO42</f>
        <v>19.8</v>
      </c>
      <c r="AN42" s="13"/>
      <c r="AO42" s="13">
        <f>19.8</f>
        <v>19.8</v>
      </c>
      <c r="AP42" s="13"/>
      <c r="AQ42" s="13"/>
      <c r="AR42" s="13"/>
      <c r="AS42" s="37"/>
      <c r="AT42" s="15"/>
      <c r="AU42" s="37"/>
      <c r="AV42" s="37"/>
      <c r="AW42" s="37"/>
      <c r="AX42" s="37"/>
      <c r="AY42" s="37"/>
      <c r="AZ42" s="13"/>
    </row>
    <row r="43" spans="1:52" s="4" customFormat="1" ht="39.75" customHeight="1" hidden="1">
      <c r="A43" s="66"/>
      <c r="B43" s="39" t="s">
        <v>44</v>
      </c>
      <c r="C43" s="39"/>
      <c r="D43" s="15">
        <f>SUM(E43:I43)</f>
        <v>0</v>
      </c>
      <c r="E43" s="37"/>
      <c r="F43" s="37"/>
      <c r="G43" s="37"/>
      <c r="H43" s="37"/>
      <c r="I43" s="37"/>
      <c r="J43" s="37"/>
      <c r="K43" s="14" t="e">
        <f t="shared" si="18"/>
        <v>#DIV/0!</v>
      </c>
      <c r="L43" s="13"/>
      <c r="M43" s="37"/>
      <c r="N43" s="13"/>
      <c r="O43" s="139"/>
      <c r="P43" s="37"/>
      <c r="Q43" s="37"/>
      <c r="R43" s="15">
        <f>SUM(S43:W43)</f>
        <v>0</v>
      </c>
      <c r="S43" s="13"/>
      <c r="T43" s="13"/>
      <c r="U43" s="13"/>
      <c r="V43" s="13"/>
      <c r="W43" s="13"/>
      <c r="X43" s="37"/>
      <c r="Y43" s="67">
        <f>SUM(Z43:AD43)</f>
        <v>289.40303030303033</v>
      </c>
      <c r="Z43" s="97"/>
      <c r="AA43" s="97"/>
      <c r="AB43" s="97"/>
      <c r="AC43" s="97">
        <f>AQ43/AJ43</f>
        <v>289.40303030303033</v>
      </c>
      <c r="AD43" s="97"/>
      <c r="AE43" s="97"/>
      <c r="AF43" s="14">
        <f>AJ43</f>
        <v>19.8</v>
      </c>
      <c r="AG43" s="37"/>
      <c r="AH43" s="37"/>
      <c r="AI43" s="13"/>
      <c r="AJ43" s="127">
        <v>19.8</v>
      </c>
      <c r="AK43" s="13"/>
      <c r="AL43" s="37"/>
      <c r="AM43" s="15">
        <f>SUM(AN43:AR43)</f>
        <v>5730.18</v>
      </c>
      <c r="AN43" s="13"/>
      <c r="AO43" s="13"/>
      <c r="AP43" s="13"/>
      <c r="AQ43" s="13">
        <v>5730.18</v>
      </c>
      <c r="AR43" s="13"/>
      <c r="AS43" s="37"/>
      <c r="AT43" s="15">
        <f>SUM(AU43:AY43)</f>
        <v>0</v>
      </c>
      <c r="AU43" s="37"/>
      <c r="AV43" s="37"/>
      <c r="AW43" s="37"/>
      <c r="AX43" s="37"/>
      <c r="AY43" s="37"/>
      <c r="AZ43" s="13"/>
    </row>
    <row r="44" spans="1:52" ht="43.5" customHeight="1">
      <c r="A44" s="66"/>
      <c r="B44" s="39" t="s">
        <v>26</v>
      </c>
      <c r="C44" s="39"/>
      <c r="D44" s="64">
        <f>SUM(E44:I44)</f>
        <v>1090.0844444444444</v>
      </c>
      <c r="E44" s="125"/>
      <c r="F44" s="125"/>
      <c r="G44" s="125"/>
      <c r="H44" s="125"/>
      <c r="I44" s="37">
        <f>W44/P44</f>
        <v>1090.0844444444444</v>
      </c>
      <c r="J44" s="13"/>
      <c r="K44" s="126">
        <f t="shared" si="18"/>
        <v>18</v>
      </c>
      <c r="L44" s="13"/>
      <c r="M44" s="13"/>
      <c r="N44" s="13"/>
      <c r="O44" s="13"/>
      <c r="P44" s="13">
        <v>18</v>
      </c>
      <c r="Q44" s="13"/>
      <c r="R44" s="14">
        <f>SUM(S44:W44)</f>
        <v>19621.52</v>
      </c>
      <c r="S44" s="13"/>
      <c r="T44" s="13"/>
      <c r="U44" s="13"/>
      <c r="V44" s="13"/>
      <c r="W44" s="13">
        <v>19621.52</v>
      </c>
      <c r="X44" s="13"/>
      <c r="Y44" s="64">
        <f>SUM(Z44:AD44)</f>
        <v>1090.0844444444444</v>
      </c>
      <c r="Z44" s="65"/>
      <c r="AA44" s="65"/>
      <c r="AB44" s="65"/>
      <c r="AC44" s="65"/>
      <c r="AD44" s="65">
        <f>AR44/AK44</f>
        <v>1090.0844444444444</v>
      </c>
      <c r="AE44" s="65"/>
      <c r="AF44" s="14">
        <f>AK44</f>
        <v>18</v>
      </c>
      <c r="AG44" s="13"/>
      <c r="AH44" s="13"/>
      <c r="AI44" s="13"/>
      <c r="AJ44" s="13"/>
      <c r="AK44" s="13">
        <v>18</v>
      </c>
      <c r="AL44" s="13"/>
      <c r="AM44" s="14">
        <f>SUM(AN44:AR44)</f>
        <v>19621.52</v>
      </c>
      <c r="AN44" s="13"/>
      <c r="AO44" s="13"/>
      <c r="AP44" s="13"/>
      <c r="AQ44" s="13"/>
      <c r="AR44" s="13">
        <f>12256.26+7365.26</f>
        <v>19621.52</v>
      </c>
      <c r="AS44" s="13"/>
      <c r="AT44" s="14">
        <f>SUM(AU44:AY44)</f>
        <v>0</v>
      </c>
      <c r="AU44" s="37"/>
      <c r="AV44" s="37"/>
      <c r="AW44" s="37"/>
      <c r="AX44" s="37"/>
      <c r="AY44" s="37">
        <f>(P44-AK44)*I44</f>
        <v>0</v>
      </c>
      <c r="AZ44" s="13"/>
    </row>
    <row r="45" spans="1:52" ht="81.75" customHeight="1">
      <c r="A45" s="9"/>
      <c r="B45" s="43" t="s">
        <v>27</v>
      </c>
      <c r="C45" s="10"/>
      <c r="D45" s="15">
        <f t="shared" si="27"/>
        <v>9392.720000000001</v>
      </c>
      <c r="E45" s="97">
        <v>5162.62</v>
      </c>
      <c r="F45" s="97">
        <v>4230.1</v>
      </c>
      <c r="G45" s="37"/>
      <c r="H45" s="37"/>
      <c r="I45" s="37"/>
      <c r="J45" s="37"/>
      <c r="K45" s="15">
        <f t="shared" si="18"/>
        <v>18.73627660571165</v>
      </c>
      <c r="L45" s="37">
        <v>17.7</v>
      </c>
      <c r="M45" s="37">
        <v>20</v>
      </c>
      <c r="N45" s="37"/>
      <c r="O45" s="37"/>
      <c r="P45" s="37"/>
      <c r="Q45" s="37"/>
      <c r="R45" s="15">
        <f t="shared" si="28"/>
        <v>175984.59999999998</v>
      </c>
      <c r="S45" s="37">
        <v>91378.37</v>
      </c>
      <c r="T45" s="37">
        <v>84606.23</v>
      </c>
      <c r="U45" s="37"/>
      <c r="V45" s="37"/>
      <c r="W45" s="37"/>
      <c r="X45" s="37"/>
      <c r="Y45" s="67">
        <f t="shared" si="29"/>
        <v>9221.210288135593</v>
      </c>
      <c r="Z45" s="97">
        <f>AN45/AG45</f>
        <v>4991.137288135593</v>
      </c>
      <c r="AA45" s="97">
        <f>ROUND(AO45/AH45,3)</f>
        <v>4230.073</v>
      </c>
      <c r="AB45" s="97"/>
      <c r="AC45" s="97"/>
      <c r="AD45" s="97"/>
      <c r="AE45" s="97"/>
      <c r="AF45" s="15">
        <f>AM45/Y45</f>
        <v>18.755085785487175</v>
      </c>
      <c r="AG45" s="37">
        <v>17.7</v>
      </c>
      <c r="AH45" s="37">
        <v>20</v>
      </c>
      <c r="AI45" s="37"/>
      <c r="AJ45" s="37"/>
      <c r="AK45" s="37"/>
      <c r="AL45" s="37"/>
      <c r="AM45" s="15">
        <f>SUM(AN45:AS45)</f>
        <v>172944.58999999997</v>
      </c>
      <c r="AN45" s="37">
        <f>77676.73+10666.4</f>
        <v>88343.12999999999</v>
      </c>
      <c r="AO45" s="37">
        <f>53830+30771.46</f>
        <v>84601.45999999999</v>
      </c>
      <c r="AP45" s="37"/>
      <c r="AQ45" s="37"/>
      <c r="AR45" s="37"/>
      <c r="AS45" s="37"/>
      <c r="AT45" s="15">
        <f t="shared" si="31"/>
        <v>0</v>
      </c>
      <c r="AU45" s="37">
        <f>(L45-AG45)*E45</f>
        <v>0</v>
      </c>
      <c r="AV45" s="37">
        <f>(M45-AH45)*F45</f>
        <v>0</v>
      </c>
      <c r="AW45" s="37"/>
      <c r="AX45" s="37"/>
      <c r="AY45" s="37"/>
      <c r="AZ45" s="13"/>
    </row>
    <row r="46" spans="1:52" ht="81.75" customHeight="1" thickBot="1">
      <c r="A46" s="38"/>
      <c r="B46" s="39" t="s">
        <v>28</v>
      </c>
      <c r="C46" s="40"/>
      <c r="D46" s="15">
        <f t="shared" si="27"/>
        <v>17831</v>
      </c>
      <c r="E46" s="13"/>
      <c r="F46" s="65">
        <v>17831</v>
      </c>
      <c r="G46" s="37"/>
      <c r="H46" s="37"/>
      <c r="I46" s="37"/>
      <c r="J46" s="37"/>
      <c r="K46" s="14">
        <f t="shared" si="18"/>
        <v>20.000999943917897</v>
      </c>
      <c r="L46" s="13"/>
      <c r="M46" s="139">
        <v>20</v>
      </c>
      <c r="N46" s="37"/>
      <c r="O46" s="37"/>
      <c r="P46" s="37"/>
      <c r="Q46" s="37"/>
      <c r="R46" s="15">
        <f t="shared" si="28"/>
        <v>356637.83</v>
      </c>
      <c r="S46" s="13"/>
      <c r="T46" s="13">
        <v>356637.83</v>
      </c>
      <c r="U46" s="13"/>
      <c r="V46" s="13"/>
      <c r="W46" s="13"/>
      <c r="X46" s="37"/>
      <c r="Y46" s="67">
        <f t="shared" si="29"/>
        <v>17831</v>
      </c>
      <c r="Z46" s="97"/>
      <c r="AA46" s="97">
        <f>ROUND(AO46/AH46,0)</f>
        <v>17831</v>
      </c>
      <c r="AB46" s="97" t="s">
        <v>34</v>
      </c>
      <c r="AC46" s="97"/>
      <c r="AD46" s="97"/>
      <c r="AE46" s="97"/>
      <c r="AF46" s="14">
        <f>AH46</f>
        <v>20</v>
      </c>
      <c r="AG46" s="37"/>
      <c r="AH46" s="37">
        <v>20</v>
      </c>
      <c r="AI46" s="13"/>
      <c r="AJ46" s="13"/>
      <c r="AK46" s="13"/>
      <c r="AL46" s="37"/>
      <c r="AM46" s="15">
        <f t="shared" si="30"/>
        <v>356610.28</v>
      </c>
      <c r="AN46" s="13"/>
      <c r="AO46" s="13">
        <f>225999.96+130610.32</f>
        <v>356610.28</v>
      </c>
      <c r="AP46" s="13"/>
      <c r="AQ46" s="13"/>
      <c r="AR46" s="13"/>
      <c r="AS46" s="37"/>
      <c r="AT46" s="15">
        <f t="shared" si="31"/>
        <v>0</v>
      </c>
      <c r="AU46" s="37"/>
      <c r="AV46" s="37">
        <f>(M46-AH46)*F46</f>
        <v>0</v>
      </c>
      <c r="AW46" s="37"/>
      <c r="AX46" s="37"/>
      <c r="AY46" s="37"/>
      <c r="AZ46" s="13"/>
    </row>
    <row r="47" spans="1:65" s="91" customFormat="1" ht="27.75" customHeight="1" thickBot="1">
      <c r="A47" s="88"/>
      <c r="B47" s="89" t="s">
        <v>61</v>
      </c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>
        <f aca="true" t="shared" si="32" ref="R47:X47">R37+R27+R19+R7</f>
        <v>19238656.96</v>
      </c>
      <c r="S47" s="90">
        <f t="shared" si="32"/>
        <v>1515099.75</v>
      </c>
      <c r="T47" s="90">
        <f t="shared" si="32"/>
        <v>8728994.4</v>
      </c>
      <c r="U47" s="90">
        <f t="shared" si="32"/>
        <v>3888808.84</v>
      </c>
      <c r="V47" s="90">
        <f t="shared" si="32"/>
        <v>2531796</v>
      </c>
      <c r="W47" s="90">
        <f t="shared" si="32"/>
        <v>2172460.27</v>
      </c>
      <c r="X47" s="90">
        <f t="shared" si="32"/>
        <v>401497.69999999995</v>
      </c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>
        <f aca="true" t="shared" si="33" ref="AM47:AZ47">AM37+AM27+AM19+AM7</f>
        <v>19319744.31</v>
      </c>
      <c r="AN47" s="90">
        <f t="shared" si="33"/>
        <v>1509821.9500000002</v>
      </c>
      <c r="AO47" s="90">
        <f t="shared" si="33"/>
        <v>8811983.440000001</v>
      </c>
      <c r="AP47" s="90">
        <f t="shared" si="33"/>
        <v>3897103.9</v>
      </c>
      <c r="AQ47" s="90">
        <f t="shared" si="33"/>
        <v>2547899.99</v>
      </c>
      <c r="AR47" s="90">
        <f t="shared" si="33"/>
        <v>2146617.1999999997</v>
      </c>
      <c r="AS47" s="90">
        <f t="shared" si="33"/>
        <v>406317.8300000001</v>
      </c>
      <c r="AT47" s="90">
        <f t="shared" si="33"/>
        <v>7193.489734999921</v>
      </c>
      <c r="AU47" s="90">
        <f t="shared" si="33"/>
        <v>6.026228999994519</v>
      </c>
      <c r="AV47" s="90">
        <f t="shared" si="33"/>
        <v>0</v>
      </c>
      <c r="AW47" s="90">
        <f t="shared" si="33"/>
        <v>2.9743800000015215</v>
      </c>
      <c r="AX47" s="90">
        <f t="shared" si="33"/>
        <v>0</v>
      </c>
      <c r="AY47" s="90">
        <f t="shared" si="33"/>
        <v>7185.772125999923</v>
      </c>
      <c r="AZ47" s="90">
        <f t="shared" si="33"/>
        <v>-1.2829999999988333</v>
      </c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</row>
    <row r="48" spans="5:25" ht="25.5" customHeight="1">
      <c r="E48" s="6"/>
      <c r="Y48" s="6"/>
    </row>
    <row r="49" spans="2:57" ht="55.5" customHeight="1">
      <c r="B49" s="208"/>
      <c r="C49" s="208"/>
      <c r="D49" s="208"/>
      <c r="E49" s="208"/>
      <c r="U49" s="208"/>
      <c r="V49" s="208"/>
      <c r="W49" s="94"/>
      <c r="X49" s="94"/>
      <c r="Y49" s="94"/>
      <c r="Z49" s="94"/>
      <c r="AT49" s="213" t="s">
        <v>19</v>
      </c>
      <c r="AU49" s="213"/>
      <c r="AV49" s="213"/>
      <c r="AW49" s="213"/>
      <c r="AY49" s="214" t="s">
        <v>45</v>
      </c>
      <c r="AZ49" s="214"/>
      <c r="BA49" s="208"/>
      <c r="BB49" s="208"/>
      <c r="BC49" s="208"/>
      <c r="BD49" s="208"/>
      <c r="BE49" s="208"/>
    </row>
    <row r="50" spans="5:26" ht="55.5" customHeight="1">
      <c r="E50" s="6"/>
      <c r="Y50" s="6"/>
      <c r="Z50" s="6"/>
    </row>
    <row r="51" spans="5:54" ht="26.25">
      <c r="E51" s="6"/>
      <c r="Y51" s="6"/>
      <c r="Z51" s="6"/>
      <c r="AT51" s="6"/>
      <c r="AV51" s="93"/>
      <c r="BA51" s="6"/>
      <c r="BB51" s="6"/>
    </row>
    <row r="52" spans="5:26" ht="26.25">
      <c r="E52" s="6"/>
      <c r="Y52" s="6"/>
      <c r="Z52" s="6"/>
    </row>
    <row r="53" spans="5:26" ht="26.25">
      <c r="E53" s="6"/>
      <c r="Y53" s="6"/>
      <c r="Z53" s="6"/>
    </row>
    <row r="54" spans="5:26" ht="26.25">
      <c r="E54" s="6"/>
      <c r="Y54" s="6"/>
      <c r="Z54" s="6"/>
    </row>
    <row r="55" spans="5:26" ht="26.25">
      <c r="E55" s="6"/>
      <c r="Y55" s="6"/>
      <c r="Z55" s="6"/>
    </row>
    <row r="56" spans="5:26" ht="26.25">
      <c r="E56" s="6"/>
      <c r="Y56" s="6"/>
      <c r="Z56" s="6"/>
    </row>
    <row r="57" spans="5:26" ht="26.25">
      <c r="E57" s="6"/>
      <c r="Y57" s="6"/>
      <c r="Z57" s="6"/>
    </row>
    <row r="58" spans="5:26" ht="26.25">
      <c r="E58" s="6"/>
      <c r="Y58" s="6"/>
      <c r="Z58" s="6"/>
    </row>
    <row r="59" spans="5:26" ht="26.25">
      <c r="E59" s="6"/>
      <c r="Y59" s="6"/>
      <c r="Z59" s="6"/>
    </row>
    <row r="60" spans="5:26" ht="26.25">
      <c r="E60" s="6"/>
      <c r="Y60" s="6"/>
      <c r="Z60" s="6"/>
    </row>
    <row r="61" spans="5:26" ht="26.25">
      <c r="E61" s="6"/>
      <c r="Y61" s="6"/>
      <c r="Z61" s="6"/>
    </row>
    <row r="62" spans="5:26" ht="26.25">
      <c r="E62" s="6"/>
      <c r="Y62" s="6"/>
      <c r="Z62" s="6"/>
    </row>
    <row r="63" spans="5:26" ht="26.25">
      <c r="E63" s="6"/>
      <c r="Y63" s="6"/>
      <c r="Z63" s="6"/>
    </row>
    <row r="64" spans="5:26" ht="26.25">
      <c r="E64" s="6"/>
      <c r="Y64" s="6"/>
      <c r="Z64" s="6"/>
    </row>
    <row r="65" spans="5:26" ht="26.25">
      <c r="E65" s="6"/>
      <c r="Y65" s="6"/>
      <c r="Z65" s="6"/>
    </row>
    <row r="66" spans="5:26" ht="26.25">
      <c r="E66" s="6"/>
      <c r="Y66" s="6"/>
      <c r="Z66" s="6"/>
    </row>
    <row r="67" spans="5:26" ht="26.25">
      <c r="E67" s="6"/>
      <c r="Y67" s="6"/>
      <c r="Z67" s="6"/>
    </row>
    <row r="68" spans="5:26" ht="26.25">
      <c r="E68" s="6"/>
      <c r="Y68" s="6"/>
      <c r="Z68" s="6"/>
    </row>
    <row r="69" spans="5:26" ht="26.25">
      <c r="E69" s="6"/>
      <c r="Y69" s="6"/>
      <c r="Z69" s="6"/>
    </row>
    <row r="70" spans="5:26" ht="26.25">
      <c r="E70" s="6"/>
      <c r="Y70" s="6"/>
      <c r="Z70" s="6"/>
    </row>
    <row r="71" spans="5:26" ht="26.25">
      <c r="E71" s="6"/>
      <c r="Y71" s="6"/>
      <c r="Z71" s="6"/>
    </row>
    <row r="72" spans="5:26" ht="26.25">
      <c r="E72" s="6"/>
      <c r="Y72" s="6"/>
      <c r="Z72" s="6"/>
    </row>
    <row r="73" spans="5:26" ht="26.25">
      <c r="E73" s="6"/>
      <c r="Y73" s="6"/>
      <c r="Z73" s="6"/>
    </row>
    <row r="74" spans="5:26" ht="26.25">
      <c r="E74" s="6"/>
      <c r="Y74" s="6"/>
      <c r="Z74" s="6"/>
    </row>
    <row r="75" spans="5:26" ht="26.25">
      <c r="E75" s="6"/>
      <c r="Y75" s="6"/>
      <c r="Z75" s="6"/>
    </row>
    <row r="76" spans="5:26" ht="26.25">
      <c r="E76" s="6"/>
      <c r="Y76" s="6"/>
      <c r="Z76" s="6"/>
    </row>
    <row r="77" spans="5:26" ht="26.25">
      <c r="E77" s="6"/>
      <c r="Y77" s="6"/>
      <c r="Z77" s="6"/>
    </row>
    <row r="78" spans="5:26" ht="26.25">
      <c r="E78" s="6"/>
      <c r="Y78" s="6"/>
      <c r="Z78" s="6"/>
    </row>
    <row r="79" spans="5:26" ht="26.25">
      <c r="E79" s="6"/>
      <c r="Y79" s="6"/>
      <c r="Z79" s="6"/>
    </row>
    <row r="80" spans="5:26" ht="26.25">
      <c r="E80" s="6"/>
      <c r="Y80" s="6"/>
      <c r="Z80" s="6"/>
    </row>
    <row r="81" spans="5:26" ht="26.25">
      <c r="E81" s="6"/>
      <c r="Y81" s="6"/>
      <c r="Z81" s="6"/>
    </row>
    <row r="82" spans="5:26" ht="26.25">
      <c r="E82" s="6"/>
      <c r="Y82" s="6"/>
      <c r="Z82" s="6"/>
    </row>
    <row r="83" spans="5:26" ht="26.25">
      <c r="E83" s="6"/>
      <c r="Y83" s="6"/>
      <c r="Z83" s="6"/>
    </row>
    <row r="84" spans="5:26" ht="26.25">
      <c r="E84" s="6"/>
      <c r="Y84" s="6"/>
      <c r="Z84" s="6"/>
    </row>
    <row r="85" spans="5:26" ht="26.25">
      <c r="E85" s="6"/>
      <c r="Y85" s="6"/>
      <c r="Z85" s="6"/>
    </row>
    <row r="86" spans="5:26" ht="26.25">
      <c r="E86" s="6"/>
      <c r="Y86" s="6"/>
      <c r="Z86" s="6"/>
    </row>
    <row r="87" spans="5:26" ht="26.25">
      <c r="E87" s="6"/>
      <c r="Y87" s="6"/>
      <c r="Z87" s="6"/>
    </row>
    <row r="88" spans="5:26" ht="26.25">
      <c r="E88" s="6"/>
      <c r="Y88" s="6"/>
      <c r="Z88" s="6"/>
    </row>
    <row r="89" spans="5:26" ht="26.25">
      <c r="E89" s="6"/>
      <c r="Y89" s="6"/>
      <c r="Z89" s="6"/>
    </row>
    <row r="90" spans="5:26" ht="26.25">
      <c r="E90" s="6"/>
      <c r="Y90" s="6"/>
      <c r="Z90" s="6"/>
    </row>
    <row r="91" spans="25:26" ht="26.25">
      <c r="Y91" s="6"/>
      <c r="Z91" s="6"/>
    </row>
    <row r="92" spans="25:26" ht="26.25">
      <c r="Y92" s="6"/>
      <c r="Z92" s="6"/>
    </row>
    <row r="93" spans="25:26" ht="26.25">
      <c r="Y93" s="6"/>
      <c r="Z93" s="6"/>
    </row>
    <row r="94" spans="25:26" ht="26.25">
      <c r="Y94" s="6"/>
      <c r="Z94" s="6"/>
    </row>
    <row r="95" spans="25:26" ht="26.25">
      <c r="Y95" s="6"/>
      <c r="Z95" s="6"/>
    </row>
    <row r="96" spans="25:26" ht="26.25">
      <c r="Y96" s="6"/>
      <c r="Z96" s="6"/>
    </row>
    <row r="97" spans="25:26" ht="26.25">
      <c r="Y97" s="6"/>
      <c r="Z97" s="6"/>
    </row>
    <row r="98" spans="25:26" ht="26.25">
      <c r="Y98" s="6"/>
      <c r="Z98" s="6"/>
    </row>
    <row r="99" spans="25:26" ht="26.25">
      <c r="Y99" s="6"/>
      <c r="Z99" s="6"/>
    </row>
    <row r="100" spans="25:26" ht="26.25">
      <c r="Y100" s="6"/>
      <c r="Z100" s="6"/>
    </row>
    <row r="101" spans="25:26" ht="26.25">
      <c r="Y101" s="6"/>
      <c r="Z101" s="6"/>
    </row>
    <row r="102" spans="25:26" ht="26.25">
      <c r="Y102" s="6"/>
      <c r="Z102" s="6"/>
    </row>
    <row r="103" spans="25:26" ht="26.25">
      <c r="Y103" s="6"/>
      <c r="Z103" s="6"/>
    </row>
    <row r="104" spans="25:26" ht="26.25">
      <c r="Y104" s="6"/>
      <c r="Z104" s="6"/>
    </row>
    <row r="105" spans="25:26" ht="26.25">
      <c r="Y105" s="6"/>
      <c r="Z105" s="6"/>
    </row>
    <row r="106" spans="25:26" ht="26.25">
      <c r="Y106" s="6"/>
      <c r="Z106" s="6"/>
    </row>
    <row r="107" spans="25:26" ht="26.25">
      <c r="Y107" s="6"/>
      <c r="Z107" s="6"/>
    </row>
    <row r="108" spans="25:26" ht="26.25">
      <c r="Y108" s="6"/>
      <c r="Z108" s="6"/>
    </row>
    <row r="109" spans="25:26" ht="26.25">
      <c r="Y109" s="6"/>
      <c r="Z109" s="6"/>
    </row>
    <row r="110" spans="25:26" ht="26.25">
      <c r="Y110" s="6"/>
      <c r="Z110" s="6"/>
    </row>
    <row r="111" spans="25:26" ht="26.25">
      <c r="Y111" s="6"/>
      <c r="Z111" s="6"/>
    </row>
    <row r="112" spans="25:26" ht="26.25">
      <c r="Y112" s="6"/>
      <c r="Z112" s="6"/>
    </row>
    <row r="113" spans="25:26" ht="26.25">
      <c r="Y113" s="6"/>
      <c r="Z113" s="6"/>
    </row>
    <row r="114" spans="25:26" ht="26.25">
      <c r="Y114" s="6"/>
      <c r="Z114" s="6"/>
    </row>
    <row r="115" spans="25:26" ht="26.25">
      <c r="Y115" s="6"/>
      <c r="Z115" s="6"/>
    </row>
    <row r="116" spans="25:26" ht="26.25">
      <c r="Y116" s="6"/>
      <c r="Z116" s="6"/>
    </row>
    <row r="117" spans="25:26" ht="26.25">
      <c r="Y117" s="6"/>
      <c r="Z117" s="6"/>
    </row>
    <row r="118" spans="25:26" ht="26.25">
      <c r="Y118" s="6"/>
      <c r="Z118" s="6"/>
    </row>
    <row r="119" spans="25:26" ht="26.25">
      <c r="Y119" s="6"/>
      <c r="Z119" s="6"/>
    </row>
    <row r="120" spans="25:26" ht="26.25">
      <c r="Y120" s="6"/>
      <c r="Z120" s="6"/>
    </row>
    <row r="121" spans="25:26" ht="26.25">
      <c r="Y121" s="6"/>
      <c r="Z121" s="6"/>
    </row>
    <row r="122" spans="25:26" ht="26.25">
      <c r="Y122" s="6"/>
      <c r="Z122" s="6"/>
    </row>
    <row r="123" spans="25:26" ht="26.25">
      <c r="Y123" s="6"/>
      <c r="Z123" s="6"/>
    </row>
    <row r="124" spans="25:26" ht="26.25">
      <c r="Y124" s="6"/>
      <c r="Z124" s="6"/>
    </row>
    <row r="125" spans="25:26" ht="26.25">
      <c r="Y125" s="6"/>
      <c r="Z125" s="6"/>
    </row>
    <row r="126" spans="25:26" ht="26.25">
      <c r="Y126" s="6"/>
      <c r="Z126" s="6"/>
    </row>
    <row r="127" spans="25:26" ht="26.25">
      <c r="Y127" s="6"/>
      <c r="Z127" s="6"/>
    </row>
    <row r="128" spans="25:26" ht="26.25">
      <c r="Y128" s="6"/>
      <c r="Z128" s="6"/>
    </row>
    <row r="129" spans="25:26" ht="26.25">
      <c r="Y129" s="6"/>
      <c r="Z129" s="6"/>
    </row>
    <row r="130" spans="25:26" ht="26.25">
      <c r="Y130" s="6"/>
      <c r="Z130" s="6"/>
    </row>
    <row r="131" spans="25:26" ht="26.25">
      <c r="Y131" s="6"/>
      <c r="Z131" s="6"/>
    </row>
    <row r="132" spans="25:26" ht="26.25">
      <c r="Y132" s="6"/>
      <c r="Z132" s="6"/>
    </row>
    <row r="133" spans="25:26" ht="26.25">
      <c r="Y133" s="6"/>
      <c r="Z133" s="6"/>
    </row>
    <row r="134" spans="25:26" ht="26.25">
      <c r="Y134" s="6"/>
      <c r="Z134" s="6"/>
    </row>
    <row r="135" spans="25:26" ht="26.25">
      <c r="Y135" s="6"/>
      <c r="Z135" s="6"/>
    </row>
    <row r="136" spans="25:26" ht="26.25">
      <c r="Y136" s="6"/>
      <c r="Z136" s="6"/>
    </row>
    <row r="137" spans="25:26" ht="26.25">
      <c r="Y137" s="6"/>
      <c r="Z137" s="6"/>
    </row>
    <row r="138" spans="25:26" ht="26.25">
      <c r="Y138" s="6"/>
      <c r="Z138" s="6"/>
    </row>
    <row r="139" spans="25:26" ht="26.25">
      <c r="Y139" s="6"/>
      <c r="Z139" s="6"/>
    </row>
    <row r="140" spans="25:26" ht="26.25">
      <c r="Y140" s="6"/>
      <c r="Z140" s="6"/>
    </row>
    <row r="141" spans="25:26" ht="26.25">
      <c r="Y141" s="6"/>
      <c r="Z141" s="6"/>
    </row>
    <row r="142" spans="25:26" ht="26.25">
      <c r="Y142" s="6"/>
      <c r="Z142" s="6"/>
    </row>
    <row r="143" spans="25:26" ht="26.25">
      <c r="Y143" s="6"/>
      <c r="Z143" s="6"/>
    </row>
    <row r="144" spans="25:26" ht="26.25">
      <c r="Y144" s="6"/>
      <c r="Z144" s="6"/>
    </row>
    <row r="145" spans="25:26" ht="26.25">
      <c r="Y145" s="6"/>
      <c r="Z145" s="6"/>
    </row>
    <row r="146" spans="25:26" ht="26.25">
      <c r="Y146" s="6"/>
      <c r="Z146" s="6"/>
    </row>
    <row r="147" spans="25:26" ht="26.25">
      <c r="Y147" s="6"/>
      <c r="Z147" s="6"/>
    </row>
    <row r="148" spans="25:26" ht="26.25">
      <c r="Y148" s="6"/>
      <c r="Z148" s="6"/>
    </row>
    <row r="149" spans="25:26" ht="26.25">
      <c r="Y149" s="6"/>
      <c r="Z149" s="6"/>
    </row>
    <row r="150" spans="25:26" ht="26.25">
      <c r="Y150" s="6"/>
      <c r="Z150" s="6"/>
    </row>
    <row r="151" spans="25:26" ht="26.25">
      <c r="Y151" s="6"/>
      <c r="Z151" s="6"/>
    </row>
    <row r="152" spans="25:26" ht="26.25">
      <c r="Y152" s="6"/>
      <c r="Z152" s="6"/>
    </row>
    <row r="153" spans="25:26" ht="26.25">
      <c r="Y153" s="6"/>
      <c r="Z153" s="6"/>
    </row>
    <row r="154" spans="25:26" ht="26.25">
      <c r="Y154" s="6"/>
      <c r="Z154" s="6"/>
    </row>
    <row r="155" spans="25:26" ht="26.25">
      <c r="Y155" s="6"/>
      <c r="Z155" s="6"/>
    </row>
    <row r="156" spans="25:26" ht="26.25">
      <c r="Y156" s="6"/>
      <c r="Z156" s="6"/>
    </row>
    <row r="157" spans="25:26" ht="26.25">
      <c r="Y157" s="6"/>
      <c r="Z157" s="6"/>
    </row>
    <row r="158" spans="25:26" ht="26.25">
      <c r="Y158" s="6"/>
      <c r="Z158" s="6"/>
    </row>
    <row r="159" spans="25:26" ht="26.25">
      <c r="Y159" s="6"/>
      <c r="Z159" s="6"/>
    </row>
    <row r="160" spans="25:26" ht="26.25">
      <c r="Y160" s="6"/>
      <c r="Z160" s="6"/>
    </row>
    <row r="161" spans="25:26" ht="26.25">
      <c r="Y161" s="6"/>
      <c r="Z161" s="6"/>
    </row>
    <row r="162" spans="25:26" ht="26.25">
      <c r="Y162" s="6"/>
      <c r="Z162" s="6"/>
    </row>
    <row r="163" spans="25:26" ht="26.25">
      <c r="Y163" s="6"/>
      <c r="Z163" s="6"/>
    </row>
    <row r="164" spans="25:26" ht="26.25">
      <c r="Y164" s="6"/>
      <c r="Z164" s="6"/>
    </row>
    <row r="165" spans="25:26" ht="26.25">
      <c r="Y165" s="6"/>
      <c r="Z165" s="6"/>
    </row>
    <row r="166" spans="25:26" ht="26.25">
      <c r="Y166" s="6"/>
      <c r="Z166" s="6"/>
    </row>
    <row r="167" spans="25:26" ht="26.25">
      <c r="Y167" s="6"/>
      <c r="Z167" s="6"/>
    </row>
    <row r="168" spans="25:26" ht="26.25">
      <c r="Y168" s="6"/>
      <c r="Z168" s="6"/>
    </row>
    <row r="169" spans="25:26" ht="26.25">
      <c r="Y169" s="6"/>
      <c r="Z169" s="6"/>
    </row>
    <row r="170" spans="25:26" ht="26.25">
      <c r="Y170" s="6"/>
      <c r="Z170" s="6"/>
    </row>
    <row r="171" spans="25:26" ht="26.25">
      <c r="Y171" s="6"/>
      <c r="Z171" s="6"/>
    </row>
    <row r="172" spans="25:26" ht="26.25">
      <c r="Y172" s="6"/>
      <c r="Z172" s="6"/>
    </row>
    <row r="173" spans="25:26" ht="26.25">
      <c r="Y173" s="6"/>
      <c r="Z173" s="6"/>
    </row>
    <row r="174" spans="25:26" ht="26.25">
      <c r="Y174" s="6"/>
      <c r="Z174" s="6"/>
    </row>
    <row r="175" spans="25:26" ht="26.25">
      <c r="Y175" s="6"/>
      <c r="Z175" s="6"/>
    </row>
    <row r="176" spans="25:26" ht="26.25">
      <c r="Y176" s="6"/>
      <c r="Z176" s="6"/>
    </row>
    <row r="177" spans="25:26" ht="26.25">
      <c r="Y177" s="6"/>
      <c r="Z177" s="6"/>
    </row>
    <row r="178" spans="25:26" ht="26.25">
      <c r="Y178" s="6"/>
      <c r="Z178" s="6"/>
    </row>
    <row r="179" spans="25:26" ht="26.25">
      <c r="Y179" s="6"/>
      <c r="Z179" s="6"/>
    </row>
    <row r="180" spans="25:26" ht="26.25">
      <c r="Y180" s="6"/>
      <c r="Z180" s="6"/>
    </row>
    <row r="181" spans="25:26" ht="26.25">
      <c r="Y181" s="6"/>
      <c r="Z181" s="6"/>
    </row>
    <row r="182" spans="25:26" ht="26.25">
      <c r="Y182" s="6"/>
      <c r="Z182" s="6"/>
    </row>
    <row r="183" spans="25:26" ht="26.25">
      <c r="Y183" s="6"/>
      <c r="Z183" s="6"/>
    </row>
    <row r="184" spans="25:26" ht="26.25">
      <c r="Y184" s="6"/>
      <c r="Z184" s="6"/>
    </row>
    <row r="185" spans="25:26" ht="26.25">
      <c r="Y185" s="6"/>
      <c r="Z185" s="6"/>
    </row>
    <row r="186" spans="25:26" ht="26.25">
      <c r="Y186" s="6"/>
      <c r="Z186" s="6"/>
    </row>
    <row r="187" spans="25:26" ht="26.25">
      <c r="Y187" s="6"/>
      <c r="Z187" s="6"/>
    </row>
    <row r="188" spans="25:26" ht="26.25">
      <c r="Y188" s="6"/>
      <c r="Z188" s="6"/>
    </row>
    <row r="189" spans="25:26" ht="26.25">
      <c r="Y189" s="6"/>
      <c r="Z189" s="6"/>
    </row>
    <row r="190" spans="25:26" ht="26.25">
      <c r="Y190" s="6"/>
      <c r="Z190" s="6"/>
    </row>
    <row r="191" spans="25:26" ht="26.25">
      <c r="Y191" s="6"/>
      <c r="Z191" s="6"/>
    </row>
    <row r="192" spans="25:26" ht="26.25">
      <c r="Y192" s="6"/>
      <c r="Z192" s="6"/>
    </row>
    <row r="193" spans="25:26" ht="26.25">
      <c r="Y193" s="6"/>
      <c r="Z193" s="6"/>
    </row>
    <row r="194" spans="25:26" ht="26.25">
      <c r="Y194" s="6"/>
      <c r="Z194" s="6"/>
    </row>
    <row r="195" spans="25:26" ht="26.25">
      <c r="Y195" s="6"/>
      <c r="Z195" s="6"/>
    </row>
    <row r="196" spans="25:26" ht="26.25">
      <c r="Y196" s="6"/>
      <c r="Z196" s="6"/>
    </row>
    <row r="197" spans="25:26" ht="26.25">
      <c r="Y197" s="6"/>
      <c r="Z197" s="6"/>
    </row>
    <row r="198" spans="25:26" ht="26.25">
      <c r="Y198" s="6"/>
      <c r="Z198" s="6"/>
    </row>
    <row r="199" spans="25:26" ht="26.25">
      <c r="Y199" s="6"/>
      <c r="Z199" s="6"/>
    </row>
    <row r="200" spans="25:26" ht="26.25">
      <c r="Y200" s="6"/>
      <c r="Z200" s="6"/>
    </row>
    <row r="201" spans="25:26" ht="26.25">
      <c r="Y201" s="6"/>
      <c r="Z201" s="6"/>
    </row>
    <row r="202" spans="25:26" ht="26.25">
      <c r="Y202" s="6"/>
      <c r="Z202" s="6"/>
    </row>
    <row r="203" spans="25:26" ht="26.25">
      <c r="Y203" s="6"/>
      <c r="Z203" s="6"/>
    </row>
    <row r="204" spans="25:26" ht="26.25">
      <c r="Y204" s="6"/>
      <c r="Z204" s="6"/>
    </row>
    <row r="205" spans="25:26" ht="26.25">
      <c r="Y205" s="6"/>
      <c r="Z205" s="6"/>
    </row>
    <row r="206" spans="25:26" ht="26.25">
      <c r="Y206" s="6"/>
      <c r="Z206" s="6"/>
    </row>
    <row r="207" spans="25:26" ht="26.25">
      <c r="Y207" s="6"/>
      <c r="Z207" s="6"/>
    </row>
    <row r="208" spans="25:26" ht="26.25">
      <c r="Y208" s="6"/>
      <c r="Z208" s="6"/>
    </row>
    <row r="209" spans="25:26" ht="26.25">
      <c r="Y209" s="6"/>
      <c r="Z209" s="6"/>
    </row>
    <row r="210" spans="25:26" ht="26.25">
      <c r="Y210" s="6"/>
      <c r="Z210" s="6"/>
    </row>
    <row r="211" spans="25:26" ht="26.25">
      <c r="Y211" s="6"/>
      <c r="Z211" s="6"/>
    </row>
    <row r="212" spans="25:26" ht="26.25">
      <c r="Y212" s="6"/>
      <c r="Z212" s="6"/>
    </row>
    <row r="213" spans="25:26" ht="26.25">
      <c r="Y213" s="6"/>
      <c r="Z213" s="6"/>
    </row>
    <row r="214" spans="25:26" ht="26.25">
      <c r="Y214" s="6"/>
      <c r="Z214" s="6"/>
    </row>
    <row r="215" spans="25:26" ht="26.25">
      <c r="Y215" s="6"/>
      <c r="Z215" s="6"/>
    </row>
    <row r="216" spans="25:26" ht="26.25">
      <c r="Y216" s="6"/>
      <c r="Z216" s="6"/>
    </row>
    <row r="217" spans="25:26" ht="26.25">
      <c r="Y217" s="6"/>
      <c r="Z217" s="6"/>
    </row>
    <row r="218" spans="25:26" ht="26.25">
      <c r="Y218" s="6"/>
      <c r="Z218" s="6"/>
    </row>
    <row r="219" spans="25:26" ht="26.25">
      <c r="Y219" s="6"/>
      <c r="Z219" s="6"/>
    </row>
    <row r="220" spans="25:26" ht="26.25">
      <c r="Y220" s="6"/>
      <c r="Z220" s="6"/>
    </row>
    <row r="221" spans="25:26" ht="26.25">
      <c r="Y221" s="6"/>
      <c r="Z221" s="6"/>
    </row>
    <row r="222" spans="25:26" ht="26.25">
      <c r="Y222" s="6"/>
      <c r="Z222" s="6"/>
    </row>
    <row r="223" spans="25:26" ht="26.25">
      <c r="Y223" s="6"/>
      <c r="Z223" s="6"/>
    </row>
    <row r="224" spans="25:26" ht="26.25">
      <c r="Y224" s="6"/>
      <c r="Z224" s="6"/>
    </row>
    <row r="225" spans="25:26" ht="26.25">
      <c r="Y225" s="6"/>
      <c r="Z225" s="6"/>
    </row>
    <row r="226" spans="25:26" ht="26.25">
      <c r="Y226" s="6"/>
      <c r="Z226" s="6"/>
    </row>
    <row r="227" spans="25:26" ht="26.25">
      <c r="Y227" s="6"/>
      <c r="Z227" s="6"/>
    </row>
    <row r="228" spans="25:26" ht="26.25">
      <c r="Y228" s="6"/>
      <c r="Z228" s="6"/>
    </row>
    <row r="229" spans="25:26" ht="26.25">
      <c r="Y229" s="6"/>
      <c r="Z229" s="6"/>
    </row>
    <row r="230" spans="25:26" ht="26.25">
      <c r="Y230" s="6"/>
      <c r="Z230" s="6"/>
    </row>
    <row r="231" spans="25:26" ht="26.25">
      <c r="Y231" s="6"/>
      <c r="Z231" s="6"/>
    </row>
    <row r="232" spans="25:26" ht="26.25">
      <c r="Y232" s="6"/>
      <c r="Z232" s="6"/>
    </row>
    <row r="233" spans="25:26" ht="26.25">
      <c r="Y233" s="6"/>
      <c r="Z233" s="6"/>
    </row>
    <row r="234" spans="25:26" ht="26.25">
      <c r="Y234" s="6"/>
      <c r="Z234" s="6"/>
    </row>
    <row r="235" spans="25:26" ht="26.25">
      <c r="Y235" s="6"/>
      <c r="Z235" s="6"/>
    </row>
    <row r="236" spans="25:26" ht="26.25">
      <c r="Y236" s="6"/>
      <c r="Z236" s="6"/>
    </row>
    <row r="237" spans="25:26" ht="26.25">
      <c r="Y237" s="6"/>
      <c r="Z237" s="6"/>
    </row>
    <row r="238" spans="25:26" ht="26.25">
      <c r="Y238" s="6"/>
      <c r="Z238" s="6"/>
    </row>
    <row r="239" spans="25:26" ht="26.25">
      <c r="Y239" s="6"/>
      <c r="Z239" s="6"/>
    </row>
    <row r="240" spans="25:26" ht="26.25">
      <c r="Y240" s="6"/>
      <c r="Z240" s="6"/>
    </row>
    <row r="241" spans="25:26" ht="26.25">
      <c r="Y241" s="6"/>
      <c r="Z241" s="6"/>
    </row>
    <row r="242" spans="25:26" ht="26.25">
      <c r="Y242" s="6"/>
      <c r="Z242" s="6"/>
    </row>
    <row r="243" spans="25:26" ht="26.25">
      <c r="Y243" s="6"/>
      <c r="Z243" s="6"/>
    </row>
    <row r="244" spans="25:26" ht="26.25">
      <c r="Y244" s="6"/>
      <c r="Z244" s="6"/>
    </row>
    <row r="245" spans="25:26" ht="26.25">
      <c r="Y245" s="6"/>
      <c r="Z245" s="6"/>
    </row>
    <row r="246" spans="25:26" ht="26.25">
      <c r="Y246" s="6"/>
      <c r="Z246" s="6"/>
    </row>
    <row r="247" spans="25:26" ht="26.25">
      <c r="Y247" s="6"/>
      <c r="Z247" s="6"/>
    </row>
    <row r="248" spans="25:26" ht="26.25">
      <c r="Y248" s="6"/>
      <c r="Z248" s="6"/>
    </row>
    <row r="249" spans="25:26" ht="26.25">
      <c r="Y249" s="6"/>
      <c r="Z249" s="6"/>
    </row>
    <row r="250" spans="25:26" ht="26.25">
      <c r="Y250" s="6"/>
      <c r="Z250" s="6"/>
    </row>
    <row r="251" spans="25:26" ht="26.25">
      <c r="Y251" s="6"/>
      <c r="Z251" s="6"/>
    </row>
    <row r="252" spans="25:26" ht="26.25">
      <c r="Y252" s="6"/>
      <c r="Z252" s="6"/>
    </row>
    <row r="253" spans="25:26" ht="26.25">
      <c r="Y253" s="6"/>
      <c r="Z253" s="6"/>
    </row>
    <row r="254" spans="25:26" ht="26.25">
      <c r="Y254" s="6"/>
      <c r="Z254" s="6"/>
    </row>
    <row r="255" spans="25:26" ht="26.25">
      <c r="Y255" s="6"/>
      <c r="Z255" s="6"/>
    </row>
    <row r="256" spans="25:26" ht="26.25">
      <c r="Y256" s="6"/>
      <c r="Z256" s="6"/>
    </row>
    <row r="257" spans="25:26" ht="26.25">
      <c r="Y257" s="6"/>
      <c r="Z257" s="6"/>
    </row>
    <row r="258" spans="25:26" ht="26.25">
      <c r="Y258" s="6"/>
      <c r="Z258" s="6"/>
    </row>
    <row r="259" spans="25:26" ht="26.25">
      <c r="Y259" s="6"/>
      <c r="Z259" s="6"/>
    </row>
    <row r="260" spans="25:26" ht="26.25">
      <c r="Y260" s="6"/>
      <c r="Z260" s="6"/>
    </row>
    <row r="261" spans="25:26" ht="26.25">
      <c r="Y261" s="6"/>
      <c r="Z261" s="6"/>
    </row>
    <row r="262" spans="25:26" ht="26.25">
      <c r="Y262" s="6"/>
      <c r="Z262" s="6"/>
    </row>
    <row r="263" spans="25:26" ht="26.25">
      <c r="Y263" s="6"/>
      <c r="Z263" s="6"/>
    </row>
    <row r="264" spans="25:26" ht="26.25">
      <c r="Y264" s="6"/>
      <c r="Z264" s="6"/>
    </row>
    <row r="265" spans="25:26" ht="26.25">
      <c r="Y265" s="6"/>
      <c r="Z265" s="6"/>
    </row>
    <row r="266" spans="25:26" ht="26.25">
      <c r="Y266" s="6"/>
      <c r="Z266" s="6"/>
    </row>
    <row r="267" spans="25:26" ht="26.25">
      <c r="Y267" s="6"/>
      <c r="Z267" s="6"/>
    </row>
    <row r="268" spans="25:26" ht="26.25">
      <c r="Y268" s="6"/>
      <c r="Z268" s="6"/>
    </row>
    <row r="269" spans="25:26" ht="26.25">
      <c r="Y269" s="6"/>
      <c r="Z269" s="6"/>
    </row>
    <row r="270" spans="25:26" ht="26.25">
      <c r="Y270" s="6"/>
      <c r="Z270" s="6"/>
    </row>
    <row r="271" spans="25:26" ht="26.25">
      <c r="Y271" s="6"/>
      <c r="Z271" s="6"/>
    </row>
    <row r="272" spans="25:26" ht="26.25">
      <c r="Y272" s="6"/>
      <c r="Z272" s="6"/>
    </row>
    <row r="273" spans="25:26" ht="26.25">
      <c r="Y273" s="6"/>
      <c r="Z273" s="6"/>
    </row>
    <row r="274" spans="25:26" ht="26.25">
      <c r="Y274" s="6"/>
      <c r="Z274" s="6"/>
    </row>
    <row r="275" spans="25:26" ht="26.25">
      <c r="Y275" s="6"/>
      <c r="Z275" s="6"/>
    </row>
    <row r="276" spans="25:26" ht="26.25">
      <c r="Y276" s="6"/>
      <c r="Z276" s="6"/>
    </row>
    <row r="277" spans="25:26" ht="26.25">
      <c r="Y277" s="6"/>
      <c r="Z277" s="6"/>
    </row>
    <row r="278" spans="25:26" ht="26.25">
      <c r="Y278" s="6"/>
      <c r="Z278" s="6"/>
    </row>
    <row r="279" spans="25:26" ht="26.25">
      <c r="Y279" s="6"/>
      <c r="Z279" s="6"/>
    </row>
    <row r="280" spans="25:26" ht="26.25">
      <c r="Y280" s="6"/>
      <c r="Z280" s="6"/>
    </row>
    <row r="281" spans="25:26" ht="26.25">
      <c r="Y281" s="6"/>
      <c r="Z281" s="6"/>
    </row>
    <row r="282" spans="25:26" ht="26.25">
      <c r="Y282" s="6"/>
      <c r="Z282" s="6"/>
    </row>
    <row r="283" spans="25:26" ht="26.25">
      <c r="Y283" s="6"/>
      <c r="Z283" s="6"/>
    </row>
    <row r="284" spans="25:26" ht="26.25">
      <c r="Y284" s="6"/>
      <c r="Z284" s="6"/>
    </row>
    <row r="285" spans="25:26" ht="26.25">
      <c r="Y285" s="6"/>
      <c r="Z285" s="6"/>
    </row>
    <row r="286" spans="25:26" ht="26.25">
      <c r="Y286" s="6"/>
      <c r="Z286" s="6"/>
    </row>
    <row r="287" spans="25:26" ht="26.25">
      <c r="Y287" s="6"/>
      <c r="Z287" s="6"/>
    </row>
    <row r="288" spans="25:26" ht="26.25">
      <c r="Y288" s="6"/>
      <c r="Z288" s="6"/>
    </row>
    <row r="289" spans="25:26" ht="26.25">
      <c r="Y289" s="6"/>
      <c r="Z289" s="6"/>
    </row>
    <row r="290" spans="25:26" ht="26.25">
      <c r="Y290" s="6"/>
      <c r="Z290" s="6"/>
    </row>
    <row r="291" spans="25:26" ht="26.25">
      <c r="Y291" s="6"/>
      <c r="Z291" s="6"/>
    </row>
    <row r="292" spans="25:26" ht="26.25">
      <c r="Y292" s="6"/>
      <c r="Z292" s="6"/>
    </row>
    <row r="293" spans="25:26" ht="26.25">
      <c r="Y293" s="6"/>
      <c r="Z293" s="6"/>
    </row>
    <row r="294" spans="25:26" ht="26.25">
      <c r="Y294" s="6"/>
      <c r="Z294" s="6"/>
    </row>
    <row r="295" spans="25:26" ht="26.25">
      <c r="Y295" s="6"/>
      <c r="Z295" s="6"/>
    </row>
    <row r="296" spans="25:26" ht="26.25">
      <c r="Y296" s="6"/>
      <c r="Z296" s="6"/>
    </row>
    <row r="297" spans="25:26" ht="26.25">
      <c r="Y297" s="6"/>
      <c r="Z297" s="6"/>
    </row>
    <row r="298" spans="25:26" ht="26.25">
      <c r="Y298" s="6"/>
      <c r="Z298" s="6"/>
    </row>
    <row r="299" spans="25:26" ht="26.25">
      <c r="Y299" s="6"/>
      <c r="Z299" s="6"/>
    </row>
    <row r="300" spans="25:26" ht="26.25">
      <c r="Y300" s="6"/>
      <c r="Z300" s="6"/>
    </row>
    <row r="301" spans="25:26" ht="26.25">
      <c r="Y301" s="6"/>
      <c r="Z301" s="6"/>
    </row>
    <row r="302" spans="25:26" ht="26.25">
      <c r="Y302" s="6"/>
      <c r="Z302" s="6"/>
    </row>
    <row r="303" spans="25:26" ht="26.25">
      <c r="Y303" s="6"/>
      <c r="Z303" s="6"/>
    </row>
    <row r="304" spans="25:26" ht="26.25">
      <c r="Y304" s="6"/>
      <c r="Z304" s="6"/>
    </row>
    <row r="305" spans="25:26" ht="26.25">
      <c r="Y305" s="6"/>
      <c r="Z305" s="6"/>
    </row>
    <row r="306" spans="25:26" ht="26.25">
      <c r="Y306" s="6"/>
      <c r="Z306" s="6"/>
    </row>
    <row r="307" spans="25:26" ht="26.25">
      <c r="Y307" s="6"/>
      <c r="Z307" s="6"/>
    </row>
    <row r="308" spans="25:26" ht="26.25">
      <c r="Y308" s="6"/>
      <c r="Z308" s="6"/>
    </row>
    <row r="309" spans="25:26" ht="26.25">
      <c r="Y309" s="6"/>
      <c r="Z309" s="6"/>
    </row>
    <row r="310" spans="25:26" ht="26.25">
      <c r="Y310" s="6"/>
      <c r="Z310" s="6"/>
    </row>
    <row r="311" spans="25:26" ht="26.25">
      <c r="Y311" s="6"/>
      <c r="Z311" s="6"/>
    </row>
    <row r="312" spans="25:26" ht="26.25">
      <c r="Y312" s="6"/>
      <c r="Z312" s="6"/>
    </row>
    <row r="313" spans="25:26" ht="26.25">
      <c r="Y313" s="6"/>
      <c r="Z313" s="6"/>
    </row>
    <row r="314" spans="25:26" ht="26.25">
      <c r="Y314" s="6"/>
      <c r="Z314" s="6"/>
    </row>
    <row r="315" spans="25:26" ht="26.25">
      <c r="Y315" s="6"/>
      <c r="Z315" s="6"/>
    </row>
    <row r="316" spans="25:26" ht="26.25">
      <c r="Y316" s="6"/>
      <c r="Z316" s="6"/>
    </row>
    <row r="317" spans="25:26" ht="26.25">
      <c r="Y317" s="6"/>
      <c r="Z317" s="6"/>
    </row>
    <row r="318" spans="25:26" ht="26.25">
      <c r="Y318" s="6"/>
      <c r="Z318" s="6"/>
    </row>
    <row r="319" spans="25:26" ht="26.25">
      <c r="Y319" s="6"/>
      <c r="Z319" s="6"/>
    </row>
    <row r="320" spans="25:26" ht="26.25">
      <c r="Y320" s="6"/>
      <c r="Z320" s="6"/>
    </row>
    <row r="321" spans="25:26" ht="26.25">
      <c r="Y321" s="6"/>
      <c r="Z321" s="6"/>
    </row>
    <row r="322" spans="25:26" ht="26.25">
      <c r="Y322" s="6"/>
      <c r="Z322" s="6"/>
    </row>
    <row r="323" spans="25:26" ht="26.25">
      <c r="Y323" s="6"/>
      <c r="Z323" s="6"/>
    </row>
    <row r="324" spans="25:26" ht="26.25">
      <c r="Y324" s="6"/>
      <c r="Z324" s="6"/>
    </row>
    <row r="325" spans="25:26" ht="26.25">
      <c r="Y325" s="6"/>
      <c r="Z325" s="6"/>
    </row>
    <row r="326" spans="25:26" ht="26.25">
      <c r="Y326" s="6"/>
      <c r="Z326" s="6"/>
    </row>
    <row r="327" spans="25:26" ht="26.25">
      <c r="Y327" s="6"/>
      <c r="Z327" s="6"/>
    </row>
    <row r="328" spans="25:26" ht="26.25">
      <c r="Y328" s="6"/>
      <c r="Z328" s="6"/>
    </row>
    <row r="329" spans="25:26" ht="26.25">
      <c r="Y329" s="6"/>
      <c r="Z329" s="6"/>
    </row>
    <row r="330" spans="25:26" ht="26.25">
      <c r="Y330" s="6"/>
      <c r="Z330" s="6"/>
    </row>
    <row r="331" spans="25:26" ht="26.25">
      <c r="Y331" s="6"/>
      <c r="Z331" s="6"/>
    </row>
    <row r="332" spans="25:26" ht="26.25">
      <c r="Y332" s="6"/>
      <c r="Z332" s="6"/>
    </row>
    <row r="333" spans="25:26" ht="26.25">
      <c r="Y333" s="6"/>
      <c r="Z333" s="6"/>
    </row>
    <row r="334" spans="25:26" ht="26.25">
      <c r="Y334" s="6"/>
      <c r="Z334" s="6"/>
    </row>
    <row r="335" spans="25:26" ht="26.25">
      <c r="Y335" s="6"/>
      <c r="Z335" s="6"/>
    </row>
    <row r="336" spans="25:26" ht="26.25">
      <c r="Y336" s="6"/>
      <c r="Z336" s="6"/>
    </row>
    <row r="337" spans="25:26" ht="26.25">
      <c r="Y337" s="6"/>
      <c r="Z337" s="6"/>
    </row>
    <row r="338" spans="25:26" ht="26.25">
      <c r="Y338" s="6"/>
      <c r="Z338" s="6"/>
    </row>
    <row r="339" spans="25:26" ht="26.25">
      <c r="Y339" s="6"/>
      <c r="Z339" s="6"/>
    </row>
    <row r="340" spans="25:26" ht="26.25">
      <c r="Y340" s="6"/>
      <c r="Z340" s="6"/>
    </row>
    <row r="341" spans="25:26" ht="26.25">
      <c r="Y341" s="6"/>
      <c r="Z341" s="6"/>
    </row>
    <row r="342" spans="25:26" ht="26.25">
      <c r="Y342" s="6"/>
      <c r="Z342" s="6"/>
    </row>
    <row r="343" spans="25:26" ht="26.25">
      <c r="Y343" s="6"/>
      <c r="Z343" s="6"/>
    </row>
    <row r="344" spans="25:26" ht="26.25">
      <c r="Y344" s="6"/>
      <c r="Z344" s="6"/>
    </row>
    <row r="345" spans="25:26" ht="26.25">
      <c r="Y345" s="6"/>
      <c r="Z345" s="6"/>
    </row>
    <row r="346" spans="25:26" ht="26.25">
      <c r="Y346" s="6"/>
      <c r="Z346" s="6"/>
    </row>
    <row r="347" spans="25:26" ht="26.25">
      <c r="Y347" s="6"/>
      <c r="Z347" s="6"/>
    </row>
    <row r="348" spans="25:26" ht="26.25">
      <c r="Y348" s="6"/>
      <c r="Z348" s="6"/>
    </row>
    <row r="349" spans="25:26" ht="26.25">
      <c r="Y349" s="6"/>
      <c r="Z349" s="6"/>
    </row>
    <row r="350" spans="25:26" ht="26.25">
      <c r="Y350" s="6"/>
      <c r="Z350" s="6"/>
    </row>
    <row r="351" spans="25:26" ht="26.25">
      <c r="Y351" s="6"/>
      <c r="Z351" s="6"/>
    </row>
    <row r="352" spans="25:26" ht="26.25">
      <c r="Y352" s="6"/>
      <c r="Z352" s="6"/>
    </row>
    <row r="353" spans="25:26" ht="26.25">
      <c r="Y353" s="6"/>
      <c r="Z353" s="6"/>
    </row>
    <row r="354" spans="25:26" ht="26.25">
      <c r="Y354" s="6"/>
      <c r="Z354" s="6"/>
    </row>
    <row r="355" spans="25:26" ht="26.25">
      <c r="Y355" s="6"/>
      <c r="Z355" s="6"/>
    </row>
    <row r="356" spans="25:26" ht="26.25">
      <c r="Y356" s="6"/>
      <c r="Z356" s="6"/>
    </row>
    <row r="357" spans="25:26" ht="26.25">
      <c r="Y357" s="6"/>
      <c r="Z357" s="6"/>
    </row>
    <row r="358" spans="25:26" ht="26.25">
      <c r="Y358" s="6"/>
      <c r="Z358" s="6"/>
    </row>
    <row r="359" spans="25:26" ht="26.25">
      <c r="Y359" s="6"/>
      <c r="Z359" s="6"/>
    </row>
    <row r="360" spans="25:26" ht="26.25">
      <c r="Y360" s="6"/>
      <c r="Z360" s="6"/>
    </row>
    <row r="361" spans="25:26" ht="26.25">
      <c r="Y361" s="6"/>
      <c r="Z361" s="6"/>
    </row>
    <row r="362" spans="25:26" ht="26.25">
      <c r="Y362" s="6"/>
      <c r="Z362" s="6"/>
    </row>
    <row r="363" spans="25:26" ht="26.25">
      <c r="Y363" s="6"/>
      <c r="Z363" s="6"/>
    </row>
    <row r="364" spans="25:26" ht="26.25">
      <c r="Y364" s="6"/>
      <c r="Z364" s="6"/>
    </row>
    <row r="365" spans="25:26" ht="26.25">
      <c r="Y365" s="6"/>
      <c r="Z365" s="6"/>
    </row>
    <row r="366" spans="25:26" ht="26.25">
      <c r="Y366" s="6"/>
      <c r="Z366" s="6"/>
    </row>
    <row r="367" spans="25:26" ht="26.25">
      <c r="Y367" s="6"/>
      <c r="Z367" s="6"/>
    </row>
    <row r="368" spans="25:26" ht="26.25">
      <c r="Y368" s="6"/>
      <c r="Z368" s="6"/>
    </row>
    <row r="369" spans="25:26" ht="26.25">
      <c r="Y369" s="6"/>
      <c r="Z369" s="6"/>
    </row>
    <row r="370" spans="25:26" ht="26.25">
      <c r="Y370" s="6"/>
      <c r="Z370" s="6"/>
    </row>
    <row r="371" spans="25:26" ht="26.25">
      <c r="Y371" s="6"/>
      <c r="Z371" s="6"/>
    </row>
    <row r="372" spans="25:26" ht="26.25">
      <c r="Y372" s="6"/>
      <c r="Z372" s="6"/>
    </row>
    <row r="373" spans="25:26" ht="26.25">
      <c r="Y373" s="6"/>
      <c r="Z373" s="6"/>
    </row>
    <row r="374" spans="25:26" ht="26.25">
      <c r="Y374" s="6"/>
      <c r="Z374" s="6"/>
    </row>
    <row r="375" spans="25:26" ht="26.25">
      <c r="Y375" s="6"/>
      <c r="Z375" s="6"/>
    </row>
    <row r="376" spans="25:26" ht="26.25">
      <c r="Y376" s="6"/>
      <c r="Z376" s="6"/>
    </row>
    <row r="377" spans="25:26" ht="26.25">
      <c r="Y377" s="6"/>
      <c r="Z377" s="6"/>
    </row>
    <row r="378" spans="25:26" ht="26.25">
      <c r="Y378" s="6"/>
      <c r="Z378" s="6"/>
    </row>
    <row r="379" spans="25:26" ht="26.25">
      <c r="Y379" s="6"/>
      <c r="Z379" s="6"/>
    </row>
    <row r="380" spans="25:26" ht="26.25">
      <c r="Y380" s="6"/>
      <c r="Z380" s="6"/>
    </row>
    <row r="381" spans="25:26" ht="26.25">
      <c r="Y381" s="6"/>
      <c r="Z381" s="6"/>
    </row>
    <row r="382" spans="25:26" ht="26.25">
      <c r="Y382" s="6"/>
      <c r="Z382" s="6"/>
    </row>
    <row r="383" spans="25:26" ht="26.25">
      <c r="Y383" s="6"/>
      <c r="Z383" s="6"/>
    </row>
    <row r="384" spans="25:26" ht="26.25">
      <c r="Y384" s="6"/>
      <c r="Z384" s="6"/>
    </row>
    <row r="385" spans="25:26" ht="26.25">
      <c r="Y385" s="6"/>
      <c r="Z385" s="6"/>
    </row>
    <row r="386" spans="25:26" ht="26.25">
      <c r="Y386" s="6"/>
      <c r="Z386" s="6"/>
    </row>
    <row r="387" spans="25:26" ht="26.25">
      <c r="Y387" s="6"/>
      <c r="Z387" s="6"/>
    </row>
    <row r="388" spans="25:26" ht="26.25">
      <c r="Y388" s="6"/>
      <c r="Z388" s="6"/>
    </row>
    <row r="389" spans="25:26" ht="26.25">
      <c r="Y389" s="6"/>
      <c r="Z389" s="6"/>
    </row>
    <row r="390" spans="25:26" ht="26.25">
      <c r="Y390" s="6"/>
      <c r="Z390" s="6"/>
    </row>
    <row r="391" spans="25:26" ht="26.25">
      <c r="Y391" s="6"/>
      <c r="Z391" s="6"/>
    </row>
    <row r="392" spans="25:26" ht="26.25">
      <c r="Y392" s="6"/>
      <c r="Z392" s="6"/>
    </row>
    <row r="393" spans="25:26" ht="26.25">
      <c r="Y393" s="6"/>
      <c r="Z393" s="6"/>
    </row>
    <row r="394" spans="25:26" ht="26.25">
      <c r="Y394" s="6"/>
      <c r="Z394" s="6"/>
    </row>
    <row r="395" spans="25:26" ht="26.25">
      <c r="Y395" s="6"/>
      <c r="Z395" s="6"/>
    </row>
    <row r="396" spans="25:26" ht="26.25">
      <c r="Y396" s="6"/>
      <c r="Z396" s="6"/>
    </row>
    <row r="397" spans="25:26" ht="26.25">
      <c r="Y397" s="6"/>
      <c r="Z397" s="6"/>
    </row>
    <row r="398" spans="25:26" ht="26.25">
      <c r="Y398" s="6"/>
      <c r="Z398" s="6"/>
    </row>
    <row r="399" spans="25:26" ht="26.25">
      <c r="Y399" s="6"/>
      <c r="Z399" s="6"/>
    </row>
    <row r="400" spans="25:26" ht="26.25">
      <c r="Y400" s="6"/>
      <c r="Z400" s="6"/>
    </row>
    <row r="401" spans="25:26" ht="26.25">
      <c r="Y401" s="6"/>
      <c r="Z401" s="6"/>
    </row>
    <row r="402" spans="25:26" ht="26.25">
      <c r="Y402" s="6"/>
      <c r="Z402" s="6"/>
    </row>
    <row r="403" spans="25:26" ht="26.25">
      <c r="Y403" s="6"/>
      <c r="Z403" s="6"/>
    </row>
    <row r="404" spans="25:26" ht="26.25">
      <c r="Y404" s="6"/>
      <c r="Z404" s="6"/>
    </row>
    <row r="405" spans="25:26" ht="26.25">
      <c r="Y405" s="6"/>
      <c r="Z405" s="6"/>
    </row>
    <row r="406" spans="25:26" ht="26.25">
      <c r="Y406" s="6"/>
      <c r="Z406" s="6"/>
    </row>
    <row r="407" spans="25:26" ht="26.25">
      <c r="Y407" s="6"/>
      <c r="Z407" s="6"/>
    </row>
    <row r="408" spans="25:26" ht="26.25">
      <c r="Y408" s="6"/>
      <c r="Z408" s="6"/>
    </row>
    <row r="409" spans="25:26" ht="26.25">
      <c r="Y409" s="6"/>
      <c r="Z409" s="6"/>
    </row>
    <row r="410" spans="25:26" ht="26.25">
      <c r="Y410" s="6"/>
      <c r="Z410" s="6"/>
    </row>
    <row r="411" spans="25:26" ht="26.25">
      <c r="Y411" s="6"/>
      <c r="Z411" s="6"/>
    </row>
    <row r="412" spans="25:26" ht="26.25">
      <c r="Y412" s="6"/>
      <c r="Z412" s="6"/>
    </row>
    <row r="413" spans="25:26" ht="26.25">
      <c r="Y413" s="6"/>
      <c r="Z413" s="6"/>
    </row>
    <row r="414" spans="25:26" ht="26.25">
      <c r="Y414" s="6"/>
      <c r="Z414" s="6"/>
    </row>
    <row r="415" spans="25:26" ht="26.25">
      <c r="Y415" s="6"/>
      <c r="Z415" s="6"/>
    </row>
    <row r="416" spans="25:26" ht="26.25">
      <c r="Y416" s="6"/>
      <c r="Z416" s="6"/>
    </row>
    <row r="417" spans="25:26" ht="26.25">
      <c r="Y417" s="6"/>
      <c r="Z417" s="6"/>
    </row>
    <row r="418" spans="25:26" ht="26.25">
      <c r="Y418" s="6"/>
      <c r="Z418" s="6"/>
    </row>
    <row r="419" spans="25:26" ht="26.25">
      <c r="Y419" s="6"/>
      <c r="Z419" s="6"/>
    </row>
    <row r="420" spans="25:26" ht="26.25">
      <c r="Y420" s="6"/>
      <c r="Z420" s="6"/>
    </row>
    <row r="421" spans="25:26" ht="26.25">
      <c r="Y421" s="6"/>
      <c r="Z421" s="6"/>
    </row>
    <row r="422" spans="25:26" ht="26.25">
      <c r="Y422" s="6"/>
      <c r="Z422" s="6"/>
    </row>
    <row r="423" spans="25:26" ht="26.25">
      <c r="Y423" s="6"/>
      <c r="Z423" s="6"/>
    </row>
    <row r="424" spans="25:26" ht="26.25">
      <c r="Y424" s="6"/>
      <c r="Z424" s="6"/>
    </row>
    <row r="425" spans="25:26" ht="26.25">
      <c r="Y425" s="6"/>
      <c r="Z425" s="6"/>
    </row>
    <row r="426" spans="25:26" ht="26.25">
      <c r="Y426" s="6"/>
      <c r="Z426" s="6"/>
    </row>
    <row r="427" spans="25:26" ht="26.25">
      <c r="Y427" s="6"/>
      <c r="Z427" s="6"/>
    </row>
    <row r="428" spans="25:26" ht="26.25">
      <c r="Y428" s="6"/>
      <c r="Z428" s="6"/>
    </row>
    <row r="429" spans="25:26" ht="26.25">
      <c r="Y429" s="6"/>
      <c r="Z429" s="6"/>
    </row>
    <row r="430" spans="25:26" ht="26.25">
      <c r="Y430" s="6"/>
      <c r="Z430" s="6"/>
    </row>
    <row r="431" spans="25:26" ht="26.25">
      <c r="Y431" s="6"/>
      <c r="Z431" s="6"/>
    </row>
    <row r="432" spans="25:26" ht="26.25">
      <c r="Y432" s="6"/>
      <c r="Z432" s="6"/>
    </row>
    <row r="433" spans="25:26" ht="26.25">
      <c r="Y433" s="6"/>
      <c r="Z433" s="6"/>
    </row>
    <row r="434" spans="25:26" ht="26.25">
      <c r="Y434" s="6"/>
      <c r="Z434" s="6"/>
    </row>
    <row r="435" spans="25:26" ht="26.25">
      <c r="Y435" s="6"/>
      <c r="Z435" s="6"/>
    </row>
    <row r="436" spans="25:26" ht="26.25">
      <c r="Y436" s="6"/>
      <c r="Z436" s="6"/>
    </row>
    <row r="437" spans="25:26" ht="26.25">
      <c r="Y437" s="6"/>
      <c r="Z437" s="6"/>
    </row>
    <row r="438" spans="25:26" ht="26.25">
      <c r="Y438" s="6"/>
      <c r="Z438" s="6"/>
    </row>
    <row r="439" spans="25:26" ht="26.25">
      <c r="Y439" s="6"/>
      <c r="Z439" s="6"/>
    </row>
    <row r="440" spans="25:26" ht="26.25">
      <c r="Y440" s="6"/>
      <c r="Z440" s="6"/>
    </row>
    <row r="441" spans="25:26" ht="26.25">
      <c r="Y441" s="6"/>
      <c r="Z441" s="6"/>
    </row>
    <row r="442" spans="25:26" ht="26.25">
      <c r="Y442" s="6"/>
      <c r="Z442" s="6"/>
    </row>
    <row r="443" spans="25:26" ht="26.25">
      <c r="Y443" s="6"/>
      <c r="Z443" s="6"/>
    </row>
    <row r="444" spans="25:26" ht="26.25">
      <c r="Y444" s="6"/>
      <c r="Z444" s="6"/>
    </row>
    <row r="445" spans="25:26" ht="26.25">
      <c r="Y445" s="6"/>
      <c r="Z445" s="6"/>
    </row>
    <row r="446" spans="25:26" ht="26.25">
      <c r="Y446" s="6"/>
      <c r="Z446" s="6"/>
    </row>
    <row r="447" spans="25:26" ht="26.25">
      <c r="Y447" s="6"/>
      <c r="Z447" s="6"/>
    </row>
    <row r="448" spans="25:26" ht="26.25">
      <c r="Y448" s="6"/>
      <c r="Z448" s="6"/>
    </row>
    <row r="449" spans="25:26" ht="26.25">
      <c r="Y449" s="6"/>
      <c r="Z449" s="6"/>
    </row>
    <row r="450" spans="25:26" ht="26.25">
      <c r="Y450" s="6"/>
      <c r="Z450" s="6"/>
    </row>
    <row r="451" spans="25:26" ht="26.25">
      <c r="Y451" s="6"/>
      <c r="Z451" s="6"/>
    </row>
    <row r="452" spans="25:26" ht="26.25">
      <c r="Y452" s="6"/>
      <c r="Z452" s="6"/>
    </row>
    <row r="453" spans="25:26" ht="26.25">
      <c r="Y453" s="6"/>
      <c r="Z453" s="6"/>
    </row>
    <row r="454" spans="25:26" ht="26.25">
      <c r="Y454" s="6"/>
      <c r="Z454" s="6"/>
    </row>
    <row r="455" spans="25:26" ht="26.25">
      <c r="Y455" s="6"/>
      <c r="Z455" s="6"/>
    </row>
    <row r="456" spans="25:26" ht="26.25">
      <c r="Y456" s="6"/>
      <c r="Z456" s="6"/>
    </row>
    <row r="457" spans="25:26" ht="26.25">
      <c r="Y457" s="6"/>
      <c r="Z457" s="6"/>
    </row>
    <row r="458" spans="25:26" ht="26.25">
      <c r="Y458" s="6"/>
      <c r="Z458" s="6"/>
    </row>
    <row r="459" spans="25:26" ht="26.25">
      <c r="Y459" s="6"/>
      <c r="Z459" s="6"/>
    </row>
    <row r="460" spans="25:26" ht="26.25">
      <c r="Y460" s="6"/>
      <c r="Z460" s="6"/>
    </row>
    <row r="461" spans="25:26" ht="26.25">
      <c r="Y461" s="6"/>
      <c r="Z461" s="6"/>
    </row>
    <row r="462" spans="25:26" ht="26.25">
      <c r="Y462" s="6"/>
      <c r="Z462" s="6"/>
    </row>
    <row r="463" spans="25:26" ht="26.25">
      <c r="Y463" s="6"/>
      <c r="Z463" s="6"/>
    </row>
    <row r="464" spans="25:26" ht="26.25">
      <c r="Y464" s="6"/>
      <c r="Z464" s="6"/>
    </row>
    <row r="465" spans="25:26" ht="26.25">
      <c r="Y465" s="6"/>
      <c r="Z465" s="6"/>
    </row>
    <row r="466" spans="25:26" ht="26.25">
      <c r="Y466" s="6"/>
      <c r="Z466" s="6"/>
    </row>
    <row r="467" spans="25:26" ht="26.25">
      <c r="Y467" s="6"/>
      <c r="Z467" s="6"/>
    </row>
    <row r="468" spans="25:26" ht="26.25">
      <c r="Y468" s="6"/>
      <c r="Z468" s="6"/>
    </row>
    <row r="469" spans="25:26" ht="26.25">
      <c r="Y469" s="6"/>
      <c r="Z469" s="6"/>
    </row>
    <row r="470" spans="25:26" ht="26.25">
      <c r="Y470" s="6"/>
      <c r="Z470" s="6"/>
    </row>
    <row r="471" spans="25:26" ht="26.25">
      <c r="Y471" s="6"/>
      <c r="Z471" s="6"/>
    </row>
    <row r="472" spans="25:26" ht="26.25">
      <c r="Y472" s="6"/>
      <c r="Z472" s="6"/>
    </row>
    <row r="473" spans="25:26" ht="26.25">
      <c r="Y473" s="6"/>
      <c r="Z473" s="6"/>
    </row>
    <row r="474" spans="25:26" ht="26.25">
      <c r="Y474" s="6"/>
      <c r="Z474" s="6"/>
    </row>
    <row r="475" spans="25:26" ht="26.25">
      <c r="Y475" s="6"/>
      <c r="Z475" s="6"/>
    </row>
    <row r="476" spans="25:26" ht="26.25">
      <c r="Y476" s="6"/>
      <c r="Z476" s="6"/>
    </row>
    <row r="477" spans="25:26" ht="26.25">
      <c r="Y477" s="6"/>
      <c r="Z477" s="6"/>
    </row>
    <row r="478" spans="25:26" ht="26.25">
      <c r="Y478" s="6"/>
      <c r="Z478" s="6"/>
    </row>
    <row r="479" spans="25:26" ht="26.25">
      <c r="Y479" s="6"/>
      <c r="Z479" s="6"/>
    </row>
    <row r="480" spans="25:26" ht="26.25">
      <c r="Y480" s="6"/>
      <c r="Z480" s="6"/>
    </row>
    <row r="481" spans="25:26" ht="26.25">
      <c r="Y481" s="6"/>
      <c r="Z481" s="6"/>
    </row>
    <row r="482" spans="25:26" ht="26.25">
      <c r="Y482" s="6"/>
      <c r="Z482" s="6"/>
    </row>
    <row r="483" spans="25:26" ht="26.25">
      <c r="Y483" s="6"/>
      <c r="Z483" s="6"/>
    </row>
    <row r="484" spans="25:26" ht="26.25">
      <c r="Y484" s="6"/>
      <c r="Z484" s="6"/>
    </row>
    <row r="485" spans="25:26" ht="26.25">
      <c r="Y485" s="6"/>
      <c r="Z485" s="6"/>
    </row>
    <row r="486" spans="25:26" ht="26.25">
      <c r="Y486" s="6"/>
      <c r="Z486" s="6"/>
    </row>
    <row r="487" spans="25:26" ht="26.25">
      <c r="Y487" s="6"/>
      <c r="Z487" s="6"/>
    </row>
    <row r="488" spans="25:26" ht="26.25">
      <c r="Y488" s="6"/>
      <c r="Z488" s="6"/>
    </row>
    <row r="489" spans="25:26" ht="26.25">
      <c r="Y489" s="6"/>
      <c r="Z489" s="6"/>
    </row>
    <row r="490" spans="25:26" ht="26.25">
      <c r="Y490" s="6"/>
      <c r="Z490" s="6"/>
    </row>
    <row r="491" spans="25:26" ht="26.25">
      <c r="Y491" s="6"/>
      <c r="Z491" s="6"/>
    </row>
    <row r="492" spans="25:26" ht="26.25">
      <c r="Y492" s="6"/>
      <c r="Z492" s="6"/>
    </row>
    <row r="493" spans="25:26" ht="26.25">
      <c r="Y493" s="6"/>
      <c r="Z493" s="6"/>
    </row>
    <row r="494" spans="25:26" ht="26.25">
      <c r="Y494" s="6"/>
      <c r="Z494" s="6"/>
    </row>
    <row r="495" spans="25:26" ht="26.25">
      <c r="Y495" s="6"/>
      <c r="Z495" s="6"/>
    </row>
    <row r="496" spans="25:26" ht="26.25">
      <c r="Y496" s="6"/>
      <c r="Z496" s="6"/>
    </row>
    <row r="497" spans="25:26" ht="26.25">
      <c r="Y497" s="6"/>
      <c r="Z497" s="6"/>
    </row>
    <row r="498" spans="25:26" ht="26.25">
      <c r="Y498" s="6"/>
      <c r="Z498" s="6"/>
    </row>
    <row r="499" spans="25:26" ht="26.25">
      <c r="Y499" s="6"/>
      <c r="Z499" s="6"/>
    </row>
    <row r="500" spans="25:26" ht="26.25">
      <c r="Y500" s="6"/>
      <c r="Z500" s="6"/>
    </row>
    <row r="501" spans="25:26" ht="26.25">
      <c r="Y501" s="6"/>
      <c r="Z501" s="6"/>
    </row>
    <row r="502" spans="25:26" ht="26.25">
      <c r="Y502" s="6"/>
      <c r="Z502" s="6"/>
    </row>
    <row r="503" spans="25:26" ht="26.25">
      <c r="Y503" s="6"/>
      <c r="Z503" s="6"/>
    </row>
    <row r="504" spans="25:26" ht="26.25">
      <c r="Y504" s="6"/>
      <c r="Z504" s="6"/>
    </row>
    <row r="505" spans="25:26" ht="26.25">
      <c r="Y505" s="6"/>
      <c r="Z505" s="6"/>
    </row>
  </sheetData>
  <sheetProtection/>
  <mergeCells count="17">
    <mergeCell ref="BA49:BE49"/>
    <mergeCell ref="AM4:AS4"/>
    <mergeCell ref="AT4:AZ4"/>
    <mergeCell ref="B49:E49"/>
    <mergeCell ref="U49:V49"/>
    <mergeCell ref="AT49:AW49"/>
    <mergeCell ref="AY49:AZ49"/>
    <mergeCell ref="A1:AP1"/>
    <mergeCell ref="A2:AP2"/>
    <mergeCell ref="A4:A5"/>
    <mergeCell ref="B4:B5"/>
    <mergeCell ref="C4:C5"/>
    <mergeCell ref="D4:I4"/>
    <mergeCell ref="K4:P4"/>
    <mergeCell ref="R4:W4"/>
    <mergeCell ref="Y4:AE4"/>
    <mergeCell ref="AF4:AL4"/>
  </mergeCells>
  <printOptions/>
  <pageMargins left="0" right="0" top="0" bottom="0" header="0.1968503937007874" footer="0.2755905511811024"/>
  <pageSetup horizontalDpi="600" verticalDpi="600" orientation="landscape" paperSize="9" scale="26" r:id="rId1"/>
  <colBreaks count="1" manualBreakCount="1">
    <brk id="24" max="47" man="1"/>
  </colBreaks>
  <ignoredErrors>
    <ignoredError sqref="D36:H37 K7:Q11 K20:Q26 K19 P19:Q19 K28:Q46 K27:N27 P27:Q27 AF7:AL9 AF11:AL11 AG10:AL10 AF16:AL16 AG15:AL15 AF20:AL21 AF19 AH19:AI19 AK19:AL19 AF23:AL26 AG22:AL22 AF28:AL29 AF27:AI27 AK27:AL27 AF31:AL36 AG30:AL30 AF38:AL41 AF37 AH37:AL37 AF44:AL46 AG42:AL42 AF13:AL14 AF12:AK12 AF43:AI43 AK43:AL43 AF18:AK18 AF17:AK17 D35:G35 K13:Q18 K12:P12" evalError="1"/>
    <ignoredError sqref="D27 D43:G43 L19:O19 O27 AF10 AF15 AG19 AJ19 AF22 AJ27 AF30 AG37 AF42" evalError="1" formula="1"/>
    <ignoredError sqref="D42:H42 R42 Y33:Y37 AA40:AA41 Y42 AM37 AM42:AM4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05"/>
  <sheetViews>
    <sheetView view="pageBreakPreview" zoomScale="50" zoomScaleSheetLayoutView="50" zoomScalePageLayoutView="0" workbookViewId="0" topLeftCell="A1">
      <pane xSplit="2" ySplit="6" topLeftCell="C3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31" sqref="T31"/>
    </sheetView>
  </sheetViews>
  <sheetFormatPr defaultColWidth="9.00390625" defaultRowHeight="12.75"/>
  <cols>
    <col min="1" max="1" width="11.125" style="5" customWidth="1"/>
    <col min="2" max="2" width="74.00390625" style="5" customWidth="1"/>
    <col min="3" max="3" width="11.125" style="5" customWidth="1"/>
    <col min="4" max="4" width="21.125" style="6" customWidth="1"/>
    <col min="5" max="5" width="21.00390625" style="92" customWidth="1"/>
    <col min="6" max="6" width="21.625" style="92" customWidth="1"/>
    <col min="7" max="7" width="20.625" style="92" customWidth="1"/>
    <col min="8" max="10" width="19.625" style="92" customWidth="1"/>
    <col min="11" max="11" width="21.75390625" style="6" customWidth="1"/>
    <col min="12" max="12" width="20.375" style="6" customWidth="1"/>
    <col min="13" max="13" width="16.625" style="6" customWidth="1"/>
    <col min="14" max="14" width="19.75390625" style="6" customWidth="1"/>
    <col min="15" max="15" width="18.00390625" style="6" customWidth="1"/>
    <col min="16" max="16" width="20.25390625" style="6" customWidth="1"/>
    <col min="17" max="17" width="20.00390625" style="6" customWidth="1"/>
    <col min="18" max="18" width="25.25390625" style="6" customWidth="1"/>
    <col min="19" max="19" width="23.625" style="6" customWidth="1"/>
    <col min="20" max="20" width="24.875" style="6" customWidth="1"/>
    <col min="21" max="21" width="25.625" style="6" customWidth="1"/>
    <col min="22" max="22" width="23.00390625" style="6" customWidth="1"/>
    <col min="23" max="23" width="26.625" style="6" customWidth="1"/>
    <col min="24" max="24" width="23.125" style="6" customWidth="1"/>
    <col min="25" max="25" width="21.625" style="95" customWidth="1"/>
    <col min="26" max="26" width="27.25390625" style="92" customWidth="1"/>
    <col min="27" max="27" width="21.625" style="92" customWidth="1"/>
    <col min="28" max="28" width="20.125" style="92" customWidth="1"/>
    <col min="29" max="29" width="20.375" style="92" customWidth="1"/>
    <col min="30" max="30" width="20.875" style="92" customWidth="1"/>
    <col min="31" max="31" width="21.75390625" style="92" customWidth="1"/>
    <col min="32" max="32" width="17.375" style="6" customWidth="1"/>
    <col min="33" max="33" width="17.75390625" style="6" customWidth="1"/>
    <col min="34" max="34" width="17.875" style="6" customWidth="1"/>
    <col min="35" max="35" width="17.00390625" style="6" customWidth="1"/>
    <col min="36" max="36" width="16.125" style="6" customWidth="1"/>
    <col min="37" max="37" width="17.25390625" style="6" customWidth="1"/>
    <col min="38" max="38" width="19.625" style="6" customWidth="1"/>
    <col min="39" max="39" width="26.875" style="6" customWidth="1"/>
    <col min="40" max="40" width="24.375" style="6" customWidth="1"/>
    <col min="41" max="41" width="25.375" style="6" customWidth="1"/>
    <col min="42" max="42" width="25.625" style="6" customWidth="1"/>
    <col min="43" max="43" width="25.00390625" style="6" customWidth="1"/>
    <col min="44" max="45" width="26.25390625" style="6" customWidth="1"/>
    <col min="46" max="46" width="25.625" style="93" hidden="1" customWidth="1"/>
    <col min="47" max="48" width="23.875" style="6" hidden="1" customWidth="1"/>
    <col min="49" max="49" width="26.125" style="6" hidden="1" customWidth="1"/>
    <col min="50" max="50" width="23.875" style="6" hidden="1" customWidth="1"/>
    <col min="51" max="52" width="25.375" style="6" hidden="1" customWidth="1"/>
    <col min="53" max="65" width="9.125" style="4" customWidth="1"/>
    <col min="66" max="16384" width="9.125" style="5" customWidth="1"/>
  </cols>
  <sheetData>
    <row r="1" spans="1:52" ht="36" customHeight="1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1"/>
      <c r="AR1" s="1"/>
      <c r="AS1" s="1"/>
      <c r="AT1" s="2"/>
      <c r="AU1" s="3"/>
      <c r="AV1" s="3"/>
      <c r="AW1" s="3"/>
      <c r="AX1" s="3"/>
      <c r="AY1" s="3"/>
      <c r="AZ1" s="3"/>
    </row>
    <row r="2" spans="1:52" ht="30" customHeight="1">
      <c r="A2" s="215" t="s">
        <v>62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1"/>
      <c r="AR2" s="1"/>
      <c r="AS2" s="1"/>
      <c r="AT2" s="2"/>
      <c r="AU2" s="3"/>
      <c r="AV2" s="3"/>
      <c r="AW2" s="3"/>
      <c r="AX2" s="3"/>
      <c r="AY2" s="3"/>
      <c r="AZ2" s="3"/>
    </row>
    <row r="3" spans="1:46" ht="11.25" customHeight="1" thickBot="1">
      <c r="A3" s="1"/>
      <c r="B3" s="1"/>
      <c r="D3" s="3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2"/>
    </row>
    <row r="4" spans="1:65" s="8" customFormat="1" ht="30.75" customHeight="1">
      <c r="A4" s="216"/>
      <c r="B4" s="218" t="s">
        <v>7</v>
      </c>
      <c r="C4" s="218"/>
      <c r="D4" s="209" t="s">
        <v>30</v>
      </c>
      <c r="E4" s="210"/>
      <c r="F4" s="210"/>
      <c r="G4" s="210"/>
      <c r="H4" s="210"/>
      <c r="I4" s="220"/>
      <c r="J4" s="111"/>
      <c r="K4" s="209" t="s">
        <v>11</v>
      </c>
      <c r="L4" s="210"/>
      <c r="M4" s="210"/>
      <c r="N4" s="210"/>
      <c r="O4" s="210"/>
      <c r="P4" s="220"/>
      <c r="Q4" s="111"/>
      <c r="R4" s="209" t="s">
        <v>31</v>
      </c>
      <c r="S4" s="210"/>
      <c r="T4" s="210"/>
      <c r="U4" s="210"/>
      <c r="V4" s="210"/>
      <c r="W4" s="220"/>
      <c r="X4" s="111"/>
      <c r="Y4" s="209" t="s">
        <v>8</v>
      </c>
      <c r="Z4" s="210"/>
      <c r="AA4" s="210"/>
      <c r="AB4" s="210"/>
      <c r="AC4" s="210"/>
      <c r="AD4" s="210"/>
      <c r="AE4" s="220"/>
      <c r="AF4" s="221" t="s">
        <v>10</v>
      </c>
      <c r="AG4" s="222"/>
      <c r="AH4" s="222"/>
      <c r="AI4" s="222"/>
      <c r="AJ4" s="222"/>
      <c r="AK4" s="222"/>
      <c r="AL4" s="223"/>
      <c r="AM4" s="209" t="s">
        <v>32</v>
      </c>
      <c r="AN4" s="210"/>
      <c r="AO4" s="210"/>
      <c r="AP4" s="210"/>
      <c r="AQ4" s="210"/>
      <c r="AR4" s="210"/>
      <c r="AS4" s="210"/>
      <c r="AT4" s="211" t="s">
        <v>33</v>
      </c>
      <c r="AU4" s="210"/>
      <c r="AV4" s="210"/>
      <c r="AW4" s="210"/>
      <c r="AX4" s="210"/>
      <c r="AY4" s="210"/>
      <c r="AZ4" s="212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52" ht="50.25" customHeight="1">
      <c r="A5" s="217"/>
      <c r="B5" s="219"/>
      <c r="C5" s="219"/>
      <c r="D5" s="11" t="s">
        <v>6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12" t="s">
        <v>36</v>
      </c>
      <c r="K5" s="11" t="s">
        <v>6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36</v>
      </c>
      <c r="R5" s="11" t="s">
        <v>6</v>
      </c>
      <c r="S5" s="12" t="s">
        <v>12</v>
      </c>
      <c r="T5" s="12" t="s">
        <v>13</v>
      </c>
      <c r="U5" s="12" t="s">
        <v>14</v>
      </c>
      <c r="V5" s="12" t="s">
        <v>15</v>
      </c>
      <c r="W5" s="12" t="s">
        <v>16</v>
      </c>
      <c r="X5" s="12" t="s">
        <v>36</v>
      </c>
      <c r="Y5" s="11" t="s">
        <v>6</v>
      </c>
      <c r="Z5" s="12" t="s">
        <v>12</v>
      </c>
      <c r="AA5" s="12" t="s">
        <v>13</v>
      </c>
      <c r="AB5" s="12" t="s">
        <v>14</v>
      </c>
      <c r="AC5" s="12" t="s">
        <v>15</v>
      </c>
      <c r="AD5" s="12" t="s">
        <v>16</v>
      </c>
      <c r="AE5" s="12" t="s">
        <v>36</v>
      </c>
      <c r="AF5" s="11" t="s">
        <v>6</v>
      </c>
      <c r="AG5" s="12" t="s">
        <v>12</v>
      </c>
      <c r="AH5" s="12" t="s">
        <v>13</v>
      </c>
      <c r="AI5" s="12" t="s">
        <v>14</v>
      </c>
      <c r="AJ5" s="12" t="s">
        <v>15</v>
      </c>
      <c r="AK5" s="12" t="s">
        <v>16</v>
      </c>
      <c r="AL5" s="12" t="s">
        <v>36</v>
      </c>
      <c r="AM5" s="14" t="s">
        <v>6</v>
      </c>
      <c r="AN5" s="12" t="s">
        <v>12</v>
      </c>
      <c r="AO5" s="12" t="s">
        <v>13</v>
      </c>
      <c r="AP5" s="12" t="s">
        <v>14</v>
      </c>
      <c r="AQ5" s="12" t="s">
        <v>15</v>
      </c>
      <c r="AR5" s="12" t="s">
        <v>16</v>
      </c>
      <c r="AS5" s="112" t="s">
        <v>36</v>
      </c>
      <c r="AT5" s="114" t="s">
        <v>6</v>
      </c>
      <c r="AU5" s="16" t="s">
        <v>12</v>
      </c>
      <c r="AV5" s="16" t="s">
        <v>13</v>
      </c>
      <c r="AW5" s="16" t="s">
        <v>14</v>
      </c>
      <c r="AX5" s="16" t="s">
        <v>15</v>
      </c>
      <c r="AY5" s="16" t="s">
        <v>16</v>
      </c>
      <c r="AZ5" s="110" t="s">
        <v>36</v>
      </c>
    </row>
    <row r="6" spans="1:65" s="22" customFormat="1" ht="25.5" customHeight="1" thickBot="1">
      <c r="A6" s="17"/>
      <c r="B6" s="18">
        <v>2</v>
      </c>
      <c r="C6" s="18"/>
      <c r="D6" s="19">
        <v>3</v>
      </c>
      <c r="E6" s="18"/>
      <c r="F6" s="18"/>
      <c r="G6" s="18"/>
      <c r="H6" s="18"/>
      <c r="I6" s="18"/>
      <c r="J6" s="18"/>
      <c r="K6" s="19">
        <v>4</v>
      </c>
      <c r="L6" s="20"/>
      <c r="M6" s="20"/>
      <c r="N6" s="20"/>
      <c r="O6" s="20"/>
      <c r="P6" s="20"/>
      <c r="Q6" s="20"/>
      <c r="R6" s="19">
        <v>5</v>
      </c>
      <c r="S6" s="20"/>
      <c r="T6" s="20"/>
      <c r="U6" s="20"/>
      <c r="V6" s="20"/>
      <c r="W6" s="20"/>
      <c r="X6" s="20"/>
      <c r="Y6" s="19">
        <v>6</v>
      </c>
      <c r="Z6" s="18"/>
      <c r="AA6" s="18"/>
      <c r="AB6" s="18"/>
      <c r="AC6" s="18"/>
      <c r="AD6" s="18"/>
      <c r="AE6" s="18"/>
      <c r="AF6" s="19">
        <v>7</v>
      </c>
      <c r="AG6" s="20"/>
      <c r="AH6" s="20"/>
      <c r="AI6" s="20"/>
      <c r="AJ6" s="20"/>
      <c r="AK6" s="20"/>
      <c r="AL6" s="20"/>
      <c r="AM6" s="19">
        <v>8</v>
      </c>
      <c r="AN6" s="20"/>
      <c r="AO6" s="20"/>
      <c r="AP6" s="20"/>
      <c r="AQ6" s="20"/>
      <c r="AR6" s="20"/>
      <c r="AS6" s="113"/>
      <c r="AT6" s="115">
        <v>9</v>
      </c>
      <c r="AU6" s="116"/>
      <c r="AV6" s="116"/>
      <c r="AW6" s="116"/>
      <c r="AX6" s="116"/>
      <c r="AY6" s="116"/>
      <c r="AZ6" s="117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</row>
    <row r="7" spans="1:65" s="29" customFormat="1" ht="43.5" customHeight="1" thickBot="1">
      <c r="A7" s="23">
        <v>1</v>
      </c>
      <c r="B7" s="24" t="s">
        <v>2</v>
      </c>
      <c r="C7" s="24" t="s">
        <v>4</v>
      </c>
      <c r="D7" s="25">
        <f aca="true" t="shared" si="0" ref="D7:J7">SUM(D8:D18)</f>
        <v>14034.474186456533</v>
      </c>
      <c r="E7" s="25">
        <f t="shared" si="0"/>
        <v>1129.7667</v>
      </c>
      <c r="F7" s="25">
        <f t="shared" si="0"/>
        <v>6455.4941864565335</v>
      </c>
      <c r="G7" s="25">
        <f t="shared" si="0"/>
        <v>2561.1463</v>
      </c>
      <c r="H7" s="25">
        <f t="shared" si="0"/>
        <v>2039.406</v>
      </c>
      <c r="I7" s="25">
        <f t="shared" si="0"/>
        <v>1453.4759999999999</v>
      </c>
      <c r="J7" s="25">
        <f t="shared" si="0"/>
        <v>395.185</v>
      </c>
      <c r="K7" s="27">
        <f aca="true" t="shared" si="1" ref="K7:P7">R7/D7</f>
        <v>1304.7931391452785</v>
      </c>
      <c r="L7" s="27">
        <f t="shared" si="1"/>
        <v>1309.0155339150997</v>
      </c>
      <c r="M7" s="27">
        <f t="shared" si="1"/>
        <v>1306.6291574851523</v>
      </c>
      <c r="N7" s="27">
        <f t="shared" si="1"/>
        <v>1306.6261150329444</v>
      </c>
      <c r="O7" s="27">
        <f t="shared" si="1"/>
        <v>1306.625796923222</v>
      </c>
      <c r="P7" s="27">
        <f t="shared" si="1"/>
        <v>1306.62657656542</v>
      </c>
      <c r="Q7" s="27">
        <f>Y7/J7</f>
        <v>35.469180809900315</v>
      </c>
      <c r="R7" s="27">
        <f aca="true" t="shared" si="2" ref="R7:AE7">SUM(R8:R18)</f>
        <v>18312085.63</v>
      </c>
      <c r="S7" s="27">
        <f t="shared" si="2"/>
        <v>1478882.1600000001</v>
      </c>
      <c r="T7" s="27">
        <f t="shared" si="2"/>
        <v>8434936.93</v>
      </c>
      <c r="U7" s="27">
        <f t="shared" si="2"/>
        <v>3346460.64</v>
      </c>
      <c r="V7" s="27">
        <f t="shared" si="2"/>
        <v>2664740.49</v>
      </c>
      <c r="W7" s="27">
        <f t="shared" si="2"/>
        <v>1899150.37</v>
      </c>
      <c r="X7" s="27">
        <f t="shared" si="2"/>
        <v>487915.04000000004</v>
      </c>
      <c r="Y7" s="59">
        <f t="shared" si="2"/>
        <v>14016.888218360456</v>
      </c>
      <c r="Z7" s="59">
        <f t="shared" si="2"/>
        <v>1129.7453650128052</v>
      </c>
      <c r="AA7" s="59">
        <f t="shared" si="2"/>
        <v>6450.979267275357</v>
      </c>
      <c r="AB7" s="59">
        <f t="shared" si="2"/>
        <v>2561.8890428047725</v>
      </c>
      <c r="AC7" s="59">
        <f t="shared" si="2"/>
        <v>2037.621652648416</v>
      </c>
      <c r="AD7" s="59">
        <f t="shared" si="2"/>
        <v>1447.9071810688565</v>
      </c>
      <c r="AE7" s="59">
        <f t="shared" si="2"/>
        <v>388.7457095502476</v>
      </c>
      <c r="AF7" s="28">
        <f>AM7/Y7</f>
        <v>1304.7931648654658</v>
      </c>
      <c r="AG7" s="101">
        <f>AN7/Z7</f>
        <v>1309.0180192801568</v>
      </c>
      <c r="AH7" s="101">
        <f>AH10</f>
        <v>1306.63</v>
      </c>
      <c r="AI7" s="101">
        <f>AI9</f>
        <v>1306.63</v>
      </c>
      <c r="AJ7" s="101">
        <f>AJ12</f>
        <v>1306.63</v>
      </c>
      <c r="AK7" s="27">
        <f>AK12</f>
        <v>1306.63</v>
      </c>
      <c r="AL7" s="27">
        <f>AS7/AE7</f>
        <v>1233.4598896403295</v>
      </c>
      <c r="AM7" s="27">
        <f aca="true" t="shared" si="3" ref="AM7:AZ7">SUM(AM8:AM18)</f>
        <v>18289139.94</v>
      </c>
      <c r="AN7" s="27">
        <f t="shared" si="3"/>
        <v>1478857.04</v>
      </c>
      <c r="AO7" s="27">
        <f t="shared" si="3"/>
        <v>8429043.040000001</v>
      </c>
      <c r="AP7" s="27">
        <f t="shared" si="3"/>
        <v>3347441.0800000005</v>
      </c>
      <c r="AQ7" s="27">
        <f t="shared" si="3"/>
        <v>2662417.58</v>
      </c>
      <c r="AR7" s="27">
        <f t="shared" si="3"/>
        <v>1891878.96</v>
      </c>
      <c r="AS7" s="27">
        <f t="shared" si="3"/>
        <v>479502.24</v>
      </c>
      <c r="AT7" s="118">
        <f t="shared" si="3"/>
        <v>0</v>
      </c>
      <c r="AU7" s="27">
        <f t="shared" si="3"/>
        <v>0</v>
      </c>
      <c r="AV7" s="27">
        <f t="shared" si="3"/>
        <v>0</v>
      </c>
      <c r="AW7" s="27">
        <f t="shared" si="3"/>
        <v>0</v>
      </c>
      <c r="AX7" s="27">
        <f t="shared" si="3"/>
        <v>0</v>
      </c>
      <c r="AY7" s="27">
        <f t="shared" si="3"/>
        <v>0</v>
      </c>
      <c r="AZ7" s="27">
        <f t="shared" si="3"/>
        <v>0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</row>
    <row r="8" spans="1:52" ht="53.25" customHeight="1">
      <c r="A8" s="38"/>
      <c r="B8" s="47" t="s">
        <v>20</v>
      </c>
      <c r="C8" s="48"/>
      <c r="D8" s="49">
        <f aca="true" t="shared" si="4" ref="D8:D16">SUM(E8:I8)</f>
        <v>30.992</v>
      </c>
      <c r="E8" s="45">
        <v>30.992</v>
      </c>
      <c r="F8" s="45"/>
      <c r="G8" s="45"/>
      <c r="H8" s="45"/>
      <c r="I8" s="45"/>
      <c r="J8" s="45"/>
      <c r="K8" s="14">
        <f aca="true" t="shared" si="5" ref="K8:K22">R8/D8</f>
        <v>1393.7399974186887</v>
      </c>
      <c r="L8" s="13">
        <v>1393.74</v>
      </c>
      <c r="M8" s="13"/>
      <c r="N8" s="13"/>
      <c r="O8" s="13"/>
      <c r="P8" s="13"/>
      <c r="Q8" s="37"/>
      <c r="R8" s="15">
        <f aca="true" t="shared" si="6" ref="R8:R16">SUM(S8:W8)</f>
        <v>43194.79</v>
      </c>
      <c r="S8" s="50">
        <v>43194.79</v>
      </c>
      <c r="T8" s="50"/>
      <c r="U8" s="50"/>
      <c r="V8" s="50"/>
      <c r="W8" s="50"/>
      <c r="X8" s="13"/>
      <c r="Y8" s="67">
        <f aca="true" t="shared" si="7" ref="Y8:Y16">SUM(Z8:AD8)</f>
        <v>30.97065449796949</v>
      </c>
      <c r="Z8" s="97">
        <f>AN8/AG8</f>
        <v>30.97065449796949</v>
      </c>
      <c r="AA8" s="97"/>
      <c r="AB8" s="97"/>
      <c r="AC8" s="97"/>
      <c r="AD8" s="97"/>
      <c r="AE8" s="97"/>
      <c r="AF8" s="14">
        <f>AG8</f>
        <v>1393.74</v>
      </c>
      <c r="AG8" s="13">
        <v>1393.74</v>
      </c>
      <c r="AH8" s="13"/>
      <c r="AI8" s="13"/>
      <c r="AJ8" s="13"/>
      <c r="AK8" s="13"/>
      <c r="AL8" s="37"/>
      <c r="AM8" s="15">
        <f aca="true" t="shared" si="8" ref="AM8:AM16">SUM(AN8:AR8)</f>
        <v>43165.04</v>
      </c>
      <c r="AN8" s="50">
        <v>43165.04</v>
      </c>
      <c r="AO8" s="50"/>
      <c r="AP8" s="50"/>
      <c r="AQ8" s="50"/>
      <c r="AR8" s="50"/>
      <c r="AS8" s="13"/>
      <c r="AT8" s="15">
        <f aca="true" t="shared" si="9" ref="AT8:AT16">SUM(AU8:AY8)</f>
        <v>0</v>
      </c>
      <c r="AU8" s="37">
        <f>(L8-AG8)*E8</f>
        <v>0</v>
      </c>
      <c r="AV8" s="37"/>
      <c r="AW8" s="37"/>
      <c r="AX8" s="37"/>
      <c r="AY8" s="37"/>
      <c r="AZ8" s="13"/>
    </row>
    <row r="9" spans="1:52" ht="53.25" customHeight="1">
      <c r="A9" s="38"/>
      <c r="B9" s="47" t="s">
        <v>21</v>
      </c>
      <c r="C9" s="48"/>
      <c r="D9" s="51">
        <f t="shared" si="4"/>
        <v>76.995</v>
      </c>
      <c r="E9" s="45"/>
      <c r="F9" s="45"/>
      <c r="G9" s="52">
        <v>76.995</v>
      </c>
      <c r="H9" s="45"/>
      <c r="I9" s="45"/>
      <c r="J9" s="45"/>
      <c r="K9" s="14">
        <f t="shared" si="5"/>
        <v>1306.6300409117473</v>
      </c>
      <c r="L9" s="13"/>
      <c r="M9" s="13"/>
      <c r="N9" s="13">
        <v>1306.63</v>
      </c>
      <c r="O9" s="13"/>
      <c r="P9" s="13"/>
      <c r="Q9" s="37"/>
      <c r="R9" s="15">
        <f t="shared" si="6"/>
        <v>100603.98</v>
      </c>
      <c r="S9" s="50"/>
      <c r="T9" s="50"/>
      <c r="U9" s="50">
        <v>100603.98</v>
      </c>
      <c r="V9" s="50"/>
      <c r="W9" s="50"/>
      <c r="X9" s="13"/>
      <c r="Y9" s="67">
        <f t="shared" si="7"/>
        <v>76.99438249542716</v>
      </c>
      <c r="Z9" s="97"/>
      <c r="AA9" s="97"/>
      <c r="AB9" s="97">
        <f>AP9/AI9</f>
        <v>76.99438249542716</v>
      </c>
      <c r="AC9" s="97"/>
      <c r="AD9" s="97"/>
      <c r="AE9" s="97"/>
      <c r="AF9" s="14">
        <f>AI9</f>
        <v>1306.63</v>
      </c>
      <c r="AG9" s="13"/>
      <c r="AH9" s="13"/>
      <c r="AI9" s="13">
        <v>1306.63</v>
      </c>
      <c r="AJ9" s="13"/>
      <c r="AK9" s="13"/>
      <c r="AL9" s="37"/>
      <c r="AM9" s="15">
        <f t="shared" si="8"/>
        <v>100603.17</v>
      </c>
      <c r="AN9" s="50"/>
      <c r="AO9" s="50"/>
      <c r="AP9" s="50">
        <v>100603.17</v>
      </c>
      <c r="AQ9" s="50"/>
      <c r="AR9" s="50"/>
      <c r="AS9" s="13"/>
      <c r="AT9" s="15">
        <f t="shared" si="9"/>
        <v>0</v>
      </c>
      <c r="AU9" s="37"/>
      <c r="AV9" s="37"/>
      <c r="AW9" s="37">
        <f>(N9-AI9)*G9</f>
        <v>0</v>
      </c>
      <c r="AX9" s="37"/>
      <c r="AY9" s="37"/>
      <c r="AZ9" s="13"/>
    </row>
    <row r="10" spans="1:52" ht="54.75" customHeight="1">
      <c r="A10" s="40"/>
      <c r="B10" s="54" t="s">
        <v>43</v>
      </c>
      <c r="C10" s="40"/>
      <c r="D10" s="49">
        <f t="shared" si="4"/>
        <v>1573.600996456533</v>
      </c>
      <c r="E10" s="45"/>
      <c r="F10" s="45">
        <f>T10/M10</f>
        <v>1573.600996456533</v>
      </c>
      <c r="G10" s="45"/>
      <c r="H10" s="45"/>
      <c r="I10" s="45"/>
      <c r="J10" s="45"/>
      <c r="K10" s="14">
        <f t="shared" si="5"/>
        <v>1306.63</v>
      </c>
      <c r="L10" s="13"/>
      <c r="M10" s="13">
        <v>1306.63</v>
      </c>
      <c r="N10" s="13"/>
      <c r="O10" s="13"/>
      <c r="P10" s="13"/>
      <c r="Q10" s="37"/>
      <c r="R10" s="15">
        <f t="shared" si="6"/>
        <v>2056114.27</v>
      </c>
      <c r="S10" s="13"/>
      <c r="T10" s="13">
        <v>2056114.27</v>
      </c>
      <c r="U10" s="13"/>
      <c r="V10" s="13"/>
      <c r="W10" s="13"/>
      <c r="X10" s="37"/>
      <c r="Y10" s="67">
        <f t="shared" si="7"/>
        <v>1573.6012643211927</v>
      </c>
      <c r="Z10" s="97"/>
      <c r="AA10" s="97">
        <f>AO10/AH10</f>
        <v>1573.6012643211927</v>
      </c>
      <c r="AB10" s="97"/>
      <c r="AC10" s="97"/>
      <c r="AD10" s="97"/>
      <c r="AE10" s="97"/>
      <c r="AF10" s="14">
        <f>AH10</f>
        <v>1306.63</v>
      </c>
      <c r="AG10" s="13"/>
      <c r="AH10" s="13">
        <v>1306.63</v>
      </c>
      <c r="AI10" s="13"/>
      <c r="AJ10" s="13"/>
      <c r="AK10" s="13"/>
      <c r="AL10" s="37"/>
      <c r="AM10" s="15">
        <f t="shared" si="8"/>
        <v>2056114.62</v>
      </c>
      <c r="AN10" s="13"/>
      <c r="AO10" s="13">
        <v>2056114.62</v>
      </c>
      <c r="AP10" s="13"/>
      <c r="AQ10" s="13"/>
      <c r="AR10" s="13"/>
      <c r="AS10" s="13"/>
      <c r="AT10" s="15">
        <f t="shared" si="9"/>
        <v>0</v>
      </c>
      <c r="AU10" s="37"/>
      <c r="AV10" s="37">
        <f>(M10-AH10)*F10</f>
        <v>0</v>
      </c>
      <c r="AW10" s="37"/>
      <c r="AX10" s="37"/>
      <c r="AY10" s="37"/>
      <c r="AZ10" s="13"/>
    </row>
    <row r="11" spans="1:52" ht="42" customHeight="1">
      <c r="A11" s="40"/>
      <c r="B11" s="54" t="s">
        <v>22</v>
      </c>
      <c r="C11" s="40"/>
      <c r="D11" s="41">
        <f t="shared" si="4"/>
        <v>14.304</v>
      </c>
      <c r="E11" s="42"/>
      <c r="F11" s="42"/>
      <c r="G11" s="42">
        <v>14.304</v>
      </c>
      <c r="H11" s="42"/>
      <c r="I11" s="42"/>
      <c r="J11" s="42"/>
      <c r="K11" s="14">
        <f t="shared" si="5"/>
        <v>1306.6254194630874</v>
      </c>
      <c r="L11" s="13"/>
      <c r="M11" s="13"/>
      <c r="N11" s="13">
        <v>1306.63</v>
      </c>
      <c r="O11" s="13"/>
      <c r="P11" s="13"/>
      <c r="Q11" s="13"/>
      <c r="R11" s="14">
        <f t="shared" si="6"/>
        <v>18689.97</v>
      </c>
      <c r="S11" s="13"/>
      <c r="T11" s="13"/>
      <c r="U11" s="13">
        <v>18689.97</v>
      </c>
      <c r="V11" s="13"/>
      <c r="W11" s="13"/>
      <c r="X11" s="13"/>
      <c r="Y11" s="64">
        <f t="shared" si="7"/>
        <v>15.195319256407704</v>
      </c>
      <c r="Z11" s="65"/>
      <c r="AA11" s="65"/>
      <c r="AB11" s="65">
        <f>AP11/AI11</f>
        <v>15.195319256407704</v>
      </c>
      <c r="AC11" s="65"/>
      <c r="AD11" s="65"/>
      <c r="AE11" s="65"/>
      <c r="AF11" s="14">
        <f>AI11</f>
        <v>1306.63</v>
      </c>
      <c r="AG11" s="13"/>
      <c r="AH11" s="13"/>
      <c r="AI11" s="13">
        <v>1306.63</v>
      </c>
      <c r="AJ11" s="13"/>
      <c r="AK11" s="13"/>
      <c r="AL11" s="13"/>
      <c r="AM11" s="14">
        <f t="shared" si="8"/>
        <v>19854.66</v>
      </c>
      <c r="AN11" s="13"/>
      <c r="AO11" s="13"/>
      <c r="AP11" s="13">
        <v>19854.66</v>
      </c>
      <c r="AQ11" s="13"/>
      <c r="AR11" s="13"/>
      <c r="AS11" s="13"/>
      <c r="AT11" s="14">
        <f t="shared" si="9"/>
        <v>0</v>
      </c>
      <c r="AU11" s="37"/>
      <c r="AV11" s="37"/>
      <c r="AW11" s="37">
        <f>(N11-AI11)*G11</f>
        <v>0</v>
      </c>
      <c r="AX11" s="37"/>
      <c r="AY11" s="37"/>
      <c r="AZ11" s="13"/>
    </row>
    <row r="12" spans="1:52" ht="33" customHeight="1">
      <c r="A12" s="30"/>
      <c r="B12" s="31" t="s">
        <v>17</v>
      </c>
      <c r="C12" s="32"/>
      <c r="D12" s="33">
        <f>SUM(E12:J12)</f>
        <v>8169.098099999999</v>
      </c>
      <c r="E12" s="34">
        <v>1098.7747</v>
      </c>
      <c r="F12" s="34">
        <v>1114.1501</v>
      </c>
      <c r="G12" s="34">
        <v>2455.9503</v>
      </c>
      <c r="H12" s="34">
        <v>2039.406</v>
      </c>
      <c r="I12" s="34">
        <v>1317.668</v>
      </c>
      <c r="J12" s="34">
        <v>143.149</v>
      </c>
      <c r="K12" s="35">
        <f t="shared" si="5"/>
        <v>1306.6257497874828</v>
      </c>
      <c r="L12" s="37">
        <v>1306.63</v>
      </c>
      <c r="M12" s="37">
        <f>L12</f>
        <v>1306.63</v>
      </c>
      <c r="N12" s="37">
        <f>M12</f>
        <v>1306.63</v>
      </c>
      <c r="O12" s="37">
        <f>N12</f>
        <v>1306.63</v>
      </c>
      <c r="P12" s="37">
        <f>O12</f>
        <v>1306.63</v>
      </c>
      <c r="Q12" s="36">
        <v>1306.63</v>
      </c>
      <c r="R12" s="35">
        <f>SUM(S12:X12)</f>
        <v>10673953.93</v>
      </c>
      <c r="S12" s="36">
        <v>1435687.37</v>
      </c>
      <c r="T12" s="36">
        <v>1455777.26</v>
      </c>
      <c r="U12" s="36">
        <v>3209008.03</v>
      </c>
      <c r="V12" s="36">
        <v>2664740.49</v>
      </c>
      <c r="W12" s="36">
        <v>1721699</v>
      </c>
      <c r="X12" s="36">
        <v>187041.78</v>
      </c>
      <c r="Y12" s="62">
        <f>SUM(Z12:AE12)</f>
        <v>8149.248953414508</v>
      </c>
      <c r="Z12" s="34">
        <f>AN12/AG12</f>
        <v>1098.7747105148358</v>
      </c>
      <c r="AA12" s="34">
        <f>AO12/AH12</f>
        <v>1108.7522251899925</v>
      </c>
      <c r="AB12" s="34">
        <f>AP12/AI12</f>
        <v>2455.2919418657157</v>
      </c>
      <c r="AC12" s="34">
        <f>AQ12/AJ12</f>
        <v>2037.621652648416</v>
      </c>
      <c r="AD12" s="34">
        <f>AR12/AK12</f>
        <v>1312.0987502200317</v>
      </c>
      <c r="AE12" s="34">
        <f>AS12/AL12</f>
        <v>136.70967297551715</v>
      </c>
      <c r="AF12" s="15">
        <f>AG12</f>
        <v>1306.63</v>
      </c>
      <c r="AG12" s="37">
        <v>1306.63</v>
      </c>
      <c r="AH12" s="37">
        <f>AG12</f>
        <v>1306.63</v>
      </c>
      <c r="AI12" s="37">
        <f>AH12</f>
        <v>1306.63</v>
      </c>
      <c r="AJ12" s="37">
        <f>AI12</f>
        <v>1306.63</v>
      </c>
      <c r="AK12" s="37">
        <f>AJ12</f>
        <v>1306.63</v>
      </c>
      <c r="AL12" s="36">
        <v>1306.63</v>
      </c>
      <c r="AM12" s="35">
        <f>SUM(AN12:AS12)</f>
        <v>10648053.16</v>
      </c>
      <c r="AN12" s="36">
        <f>640003.92+795688.08</f>
        <v>1435692</v>
      </c>
      <c r="AO12" s="36">
        <f>671467.37+413808.79+363452.76</f>
        <v>1448728.92</v>
      </c>
      <c r="AP12" s="36">
        <f>1236084.74+1972073.37</f>
        <v>3208158.1100000003</v>
      </c>
      <c r="AQ12" s="36">
        <f>1505832.27+866974.08+289611.23</f>
        <v>2662417.58</v>
      </c>
      <c r="AR12" s="36">
        <f>1714427.59</f>
        <v>1714427.59</v>
      </c>
      <c r="AS12" s="36">
        <f>178628.96</f>
        <v>178628.96</v>
      </c>
      <c r="AT12" s="35">
        <f t="shared" si="9"/>
        <v>0</v>
      </c>
      <c r="AU12" s="37">
        <f>(L12-AG12)*E12</f>
        <v>0</v>
      </c>
      <c r="AV12" s="37">
        <f>(M12-AH12)*F12</f>
        <v>0</v>
      </c>
      <c r="AW12" s="37">
        <f>(N12-AI12)*G12</f>
        <v>0</v>
      </c>
      <c r="AX12" s="37">
        <f>(O12-AJ12)*H12</f>
        <v>0</v>
      </c>
      <c r="AY12" s="37">
        <f>(P12-AK12)*I12</f>
        <v>0</v>
      </c>
      <c r="AZ12" s="37"/>
    </row>
    <row r="13" spans="1:52" ht="63.75" customHeight="1">
      <c r="A13" s="38"/>
      <c r="B13" s="39" t="s">
        <v>42</v>
      </c>
      <c r="C13" s="40"/>
      <c r="D13" s="41">
        <f t="shared" si="4"/>
        <v>135.808</v>
      </c>
      <c r="E13" s="42"/>
      <c r="F13" s="42"/>
      <c r="G13" s="42"/>
      <c r="H13" s="42"/>
      <c r="I13" s="42">
        <v>135.808</v>
      </c>
      <c r="J13" s="42"/>
      <c r="K13" s="14">
        <f t="shared" si="5"/>
        <v>1306.634145263902</v>
      </c>
      <c r="L13" s="13"/>
      <c r="M13" s="13"/>
      <c r="N13" s="13"/>
      <c r="O13" s="13"/>
      <c r="P13" s="13">
        <v>1306.63</v>
      </c>
      <c r="Q13" s="13"/>
      <c r="R13" s="14">
        <f t="shared" si="6"/>
        <v>177451.37</v>
      </c>
      <c r="S13" s="13"/>
      <c r="T13" s="13"/>
      <c r="U13" s="13"/>
      <c r="V13" s="13"/>
      <c r="W13" s="13">
        <v>177451.37</v>
      </c>
      <c r="X13" s="13"/>
      <c r="Y13" s="64">
        <f t="shared" si="7"/>
        <v>135.80843084882483</v>
      </c>
      <c r="Z13" s="65"/>
      <c r="AA13" s="65"/>
      <c r="AB13" s="65"/>
      <c r="AC13" s="65"/>
      <c r="AD13" s="65">
        <f>AR13/AK13</f>
        <v>135.80843084882483</v>
      </c>
      <c r="AE13" s="65"/>
      <c r="AF13" s="14">
        <f>AK13</f>
        <v>1306.63</v>
      </c>
      <c r="AG13" s="13"/>
      <c r="AH13" s="13"/>
      <c r="AI13" s="13"/>
      <c r="AJ13" s="13"/>
      <c r="AK13" s="13">
        <v>1306.63</v>
      </c>
      <c r="AL13" s="13"/>
      <c r="AM13" s="14">
        <f t="shared" si="8"/>
        <v>177451.37</v>
      </c>
      <c r="AN13" s="13"/>
      <c r="AO13" s="13"/>
      <c r="AP13" s="13"/>
      <c r="AQ13" s="13"/>
      <c r="AR13" s="13">
        <v>177451.37</v>
      </c>
      <c r="AS13" s="13"/>
      <c r="AT13" s="14">
        <f t="shared" si="9"/>
        <v>0</v>
      </c>
      <c r="AU13" s="37"/>
      <c r="AV13" s="37"/>
      <c r="AW13" s="37"/>
      <c r="AX13" s="37"/>
      <c r="AY13" s="37">
        <f>(P13-AK13)*I13</f>
        <v>0</v>
      </c>
      <c r="AZ13" s="13"/>
    </row>
    <row r="14" spans="1:52" ht="37.5" customHeight="1">
      <c r="A14" s="38"/>
      <c r="B14" s="54" t="s">
        <v>23</v>
      </c>
      <c r="C14" s="40"/>
      <c r="D14" s="51">
        <f t="shared" si="4"/>
        <v>230.748</v>
      </c>
      <c r="E14" s="45"/>
      <c r="F14" s="52">
        <v>230.748</v>
      </c>
      <c r="G14" s="45"/>
      <c r="H14" s="45"/>
      <c r="I14" s="45"/>
      <c r="J14" s="45"/>
      <c r="K14" s="14">
        <f t="shared" si="5"/>
        <v>1306.6257995735607</v>
      </c>
      <c r="L14" s="13"/>
      <c r="M14" s="13">
        <v>1306.63</v>
      </c>
      <c r="N14" s="13"/>
      <c r="O14" s="13"/>
      <c r="P14" s="13"/>
      <c r="Q14" s="37"/>
      <c r="R14" s="15">
        <f t="shared" si="6"/>
        <v>301501.29</v>
      </c>
      <c r="S14" s="13"/>
      <c r="T14" s="13">
        <v>301501.29</v>
      </c>
      <c r="U14" s="13"/>
      <c r="V14" s="13"/>
      <c r="W14" s="13"/>
      <c r="X14" s="13"/>
      <c r="Y14" s="67">
        <f t="shared" si="7"/>
        <v>230.74765618422964</v>
      </c>
      <c r="Z14" s="97"/>
      <c r="AA14" s="97">
        <f>AO14/AH14</f>
        <v>230.74765618422964</v>
      </c>
      <c r="AB14" s="97"/>
      <c r="AC14" s="97"/>
      <c r="AD14" s="97"/>
      <c r="AE14" s="97"/>
      <c r="AF14" s="14">
        <f>AH14</f>
        <v>1306.63</v>
      </c>
      <c r="AG14" s="13"/>
      <c r="AH14" s="13">
        <v>1306.63</v>
      </c>
      <c r="AI14" s="13"/>
      <c r="AJ14" s="13"/>
      <c r="AK14" s="13"/>
      <c r="AL14" s="37"/>
      <c r="AM14" s="15">
        <f t="shared" si="8"/>
        <v>301501.81</v>
      </c>
      <c r="AN14" s="13"/>
      <c r="AO14" s="13">
        <v>301501.81</v>
      </c>
      <c r="AP14" s="13"/>
      <c r="AQ14" s="13"/>
      <c r="AR14" s="13"/>
      <c r="AS14" s="13"/>
      <c r="AT14" s="15">
        <f t="shared" si="9"/>
        <v>0</v>
      </c>
      <c r="AU14" s="37"/>
      <c r="AV14" s="37">
        <f>(M14-AH14)*F14</f>
        <v>0</v>
      </c>
      <c r="AW14" s="37"/>
      <c r="AX14" s="37"/>
      <c r="AY14" s="37"/>
      <c r="AZ14" s="13"/>
    </row>
    <row r="15" spans="1:52" ht="35.25" customHeight="1">
      <c r="A15" s="38"/>
      <c r="B15" s="39" t="s">
        <v>18</v>
      </c>
      <c r="C15" s="40"/>
      <c r="D15" s="75">
        <f t="shared" si="4"/>
        <v>13.897</v>
      </c>
      <c r="E15" s="42"/>
      <c r="F15" s="42"/>
      <c r="G15" s="76">
        <v>13.897</v>
      </c>
      <c r="H15" s="42"/>
      <c r="I15" s="42"/>
      <c r="J15" s="42"/>
      <c r="K15" s="14">
        <f t="shared" si="5"/>
        <v>1306.6604303086997</v>
      </c>
      <c r="L15" s="13"/>
      <c r="M15" s="13"/>
      <c r="N15" s="13">
        <v>1306.63</v>
      </c>
      <c r="O15" s="13"/>
      <c r="P15" s="13"/>
      <c r="Q15" s="13"/>
      <c r="R15" s="14">
        <f t="shared" si="6"/>
        <v>18158.66</v>
      </c>
      <c r="S15" s="13"/>
      <c r="T15" s="13"/>
      <c r="U15" s="13">
        <v>18158.66</v>
      </c>
      <c r="V15" s="13"/>
      <c r="W15" s="13"/>
      <c r="X15" s="13"/>
      <c r="Y15" s="64">
        <f t="shared" si="7"/>
        <v>14.407399187222088</v>
      </c>
      <c r="Z15" s="65"/>
      <c r="AA15" s="65"/>
      <c r="AB15" s="65">
        <f>AP15/AI15</f>
        <v>14.407399187222088</v>
      </c>
      <c r="AC15" s="65"/>
      <c r="AD15" s="65"/>
      <c r="AE15" s="65"/>
      <c r="AF15" s="14">
        <f>AI15</f>
        <v>1306.63</v>
      </c>
      <c r="AG15" s="13"/>
      <c r="AH15" s="13"/>
      <c r="AI15" s="13">
        <v>1306.63</v>
      </c>
      <c r="AJ15" s="13"/>
      <c r="AK15" s="13"/>
      <c r="AL15" s="13"/>
      <c r="AM15" s="14">
        <f t="shared" si="8"/>
        <v>18825.14</v>
      </c>
      <c r="AN15" s="13"/>
      <c r="AO15" s="13"/>
      <c r="AP15" s="13">
        <v>18825.14</v>
      </c>
      <c r="AQ15" s="13"/>
      <c r="AR15" s="13"/>
      <c r="AS15" s="13"/>
      <c r="AT15" s="14">
        <f t="shared" si="9"/>
        <v>0</v>
      </c>
      <c r="AU15" s="37"/>
      <c r="AV15" s="37"/>
      <c r="AW15" s="37">
        <f>(N15-AI15)*G15</f>
        <v>0</v>
      </c>
      <c r="AX15" s="37"/>
      <c r="AY15" s="37"/>
      <c r="AZ15" s="13"/>
    </row>
    <row r="16" spans="1:52" ht="56.25" customHeight="1">
      <c r="A16" s="9"/>
      <c r="B16" s="43" t="s">
        <v>41</v>
      </c>
      <c r="C16" s="32"/>
      <c r="D16" s="44">
        <f t="shared" si="4"/>
        <v>3536.99509</v>
      </c>
      <c r="E16" s="45"/>
      <c r="F16" s="46">
        <v>3536.99509</v>
      </c>
      <c r="G16" s="45"/>
      <c r="H16" s="45"/>
      <c r="I16" s="45"/>
      <c r="J16" s="45"/>
      <c r="K16" s="14">
        <f t="shared" si="5"/>
        <v>1306.6300609424936</v>
      </c>
      <c r="L16" s="13"/>
      <c r="M16" s="13">
        <v>1306.63</v>
      </c>
      <c r="N16" s="13"/>
      <c r="O16" s="13"/>
      <c r="P16" s="13"/>
      <c r="Q16" s="37"/>
      <c r="R16" s="15">
        <f t="shared" si="6"/>
        <v>4621544.11</v>
      </c>
      <c r="S16" s="36"/>
      <c r="T16" s="36">
        <v>4621544.11</v>
      </c>
      <c r="U16" s="36"/>
      <c r="V16" s="36"/>
      <c r="W16" s="36"/>
      <c r="X16" s="36"/>
      <c r="Y16" s="67">
        <f t="shared" si="7"/>
        <v>3537.878121579942</v>
      </c>
      <c r="Z16" s="97"/>
      <c r="AA16" s="97">
        <f>AO16/AH16</f>
        <v>3537.878121579942</v>
      </c>
      <c r="AB16" s="97"/>
      <c r="AC16" s="97"/>
      <c r="AD16" s="97"/>
      <c r="AE16" s="97"/>
      <c r="AF16" s="14">
        <f>AH16</f>
        <v>1306.63</v>
      </c>
      <c r="AG16" s="13"/>
      <c r="AH16" s="13">
        <v>1306.63</v>
      </c>
      <c r="AI16" s="13"/>
      <c r="AJ16" s="13"/>
      <c r="AK16" s="13"/>
      <c r="AL16" s="37"/>
      <c r="AM16" s="15">
        <f t="shared" si="8"/>
        <v>4622697.69</v>
      </c>
      <c r="AN16" s="36"/>
      <c r="AO16" s="36">
        <v>4622697.69</v>
      </c>
      <c r="AP16" s="36"/>
      <c r="AQ16" s="36"/>
      <c r="AR16" s="36"/>
      <c r="AS16" s="13"/>
      <c r="AT16" s="15">
        <f t="shared" si="9"/>
        <v>0</v>
      </c>
      <c r="AU16" s="37"/>
      <c r="AV16" s="37">
        <f>(M16-AH16)*F16</f>
        <v>0</v>
      </c>
      <c r="AW16" s="37"/>
      <c r="AX16" s="37"/>
      <c r="AY16" s="37"/>
      <c r="AZ16" s="13"/>
    </row>
    <row r="17" spans="1:52" ht="58.5" customHeight="1">
      <c r="A17" s="38">
        <v>36</v>
      </c>
      <c r="B17" s="39" t="s">
        <v>37</v>
      </c>
      <c r="C17" s="106"/>
      <c r="D17" s="75">
        <f>SUM(E17:J17)</f>
        <v>43.429</v>
      </c>
      <c r="E17" s="42"/>
      <c r="F17" s="42"/>
      <c r="G17" s="76"/>
      <c r="H17" s="42"/>
      <c r="I17" s="107"/>
      <c r="J17" s="76">
        <v>43.429</v>
      </c>
      <c r="K17" s="14">
        <f t="shared" si="5"/>
        <v>1163.8458173110134</v>
      </c>
      <c r="L17" s="13"/>
      <c r="M17" s="13"/>
      <c r="N17" s="13"/>
      <c r="O17" s="13"/>
      <c r="P17" s="109"/>
      <c r="Q17" s="109">
        <v>1163.85</v>
      </c>
      <c r="R17" s="14">
        <f>SUM(S17:X17)</f>
        <v>50544.66</v>
      </c>
      <c r="S17" s="13"/>
      <c r="T17" s="13"/>
      <c r="U17" s="13"/>
      <c r="V17" s="13"/>
      <c r="W17" s="13"/>
      <c r="X17" s="13">
        <v>50544.66</v>
      </c>
      <c r="Y17" s="64">
        <f>AE17</f>
        <v>43.42915324139709</v>
      </c>
      <c r="Z17" s="65"/>
      <c r="AA17" s="65"/>
      <c r="AB17" s="65"/>
      <c r="AC17" s="65"/>
      <c r="AD17" s="65"/>
      <c r="AE17" s="65">
        <f>AS17/AL17</f>
        <v>43.42915324139709</v>
      </c>
      <c r="AF17" s="14">
        <f>AL17</f>
        <v>1163.85</v>
      </c>
      <c r="AG17" s="13"/>
      <c r="AH17" s="13"/>
      <c r="AI17" s="13"/>
      <c r="AJ17" s="13"/>
      <c r="AK17" s="109"/>
      <c r="AL17" s="109">
        <v>1163.85</v>
      </c>
      <c r="AM17" s="14">
        <f>AS17</f>
        <v>50545.02</v>
      </c>
      <c r="AN17" s="13"/>
      <c r="AO17" s="13"/>
      <c r="AP17" s="13"/>
      <c r="AQ17" s="13"/>
      <c r="AR17" s="13"/>
      <c r="AS17" s="13">
        <v>50545.02</v>
      </c>
      <c r="AT17" s="14">
        <f>SUM(AU17:AZ17)</f>
        <v>0</v>
      </c>
      <c r="AU17" s="13"/>
      <c r="AV17" s="13"/>
      <c r="AW17" s="13"/>
      <c r="AX17" s="13"/>
      <c r="AY17" s="13"/>
      <c r="AZ17" s="37">
        <f>(Q17-AL17)*J17</f>
        <v>0</v>
      </c>
    </row>
    <row r="18" spans="1:52" ht="88.5" customHeight="1" thickBot="1">
      <c r="A18" s="30"/>
      <c r="B18" s="31" t="s">
        <v>38</v>
      </c>
      <c r="D18" s="75">
        <f>SUM(E18:J18)</f>
        <v>208.607</v>
      </c>
      <c r="E18" s="56"/>
      <c r="F18" s="56"/>
      <c r="G18" s="102"/>
      <c r="H18" s="56"/>
      <c r="I18" s="103"/>
      <c r="J18" s="76">
        <v>208.607</v>
      </c>
      <c r="K18" s="14">
        <f t="shared" si="5"/>
        <v>1200.0009587405984</v>
      </c>
      <c r="L18" s="36"/>
      <c r="M18" s="36"/>
      <c r="N18" s="36"/>
      <c r="O18" s="36"/>
      <c r="P18" s="105"/>
      <c r="Q18" s="105">
        <v>1200</v>
      </c>
      <c r="R18" s="14">
        <f>SUM(S18:X18)</f>
        <v>250328.6</v>
      </c>
      <c r="S18" s="36"/>
      <c r="T18" s="36"/>
      <c r="U18" s="36"/>
      <c r="V18" s="36"/>
      <c r="W18" s="36"/>
      <c r="X18" s="36">
        <v>250328.6</v>
      </c>
      <c r="Y18" s="62">
        <f>AE18</f>
        <v>208.60688333333334</v>
      </c>
      <c r="Z18" s="34"/>
      <c r="AA18" s="34"/>
      <c r="AB18" s="34"/>
      <c r="AC18" s="34"/>
      <c r="AD18" s="34"/>
      <c r="AE18" s="65">
        <f>AS18/AL18</f>
        <v>208.60688333333334</v>
      </c>
      <c r="AF18" s="35">
        <f>AL18</f>
        <v>1200</v>
      </c>
      <c r="AG18" s="36"/>
      <c r="AH18" s="36"/>
      <c r="AI18" s="36"/>
      <c r="AJ18" s="36"/>
      <c r="AK18" s="105"/>
      <c r="AL18" s="105">
        <v>1200</v>
      </c>
      <c r="AM18" s="35">
        <f>AS18</f>
        <v>250328.26</v>
      </c>
      <c r="AN18" s="36"/>
      <c r="AO18" s="36"/>
      <c r="AP18" s="36"/>
      <c r="AQ18" s="36"/>
      <c r="AR18" s="36"/>
      <c r="AS18" s="36">
        <v>250328.26</v>
      </c>
      <c r="AT18" s="57">
        <f>SUM(AU18:AZ18)</f>
        <v>0</v>
      </c>
      <c r="AU18" s="50"/>
      <c r="AV18" s="50"/>
      <c r="AW18" s="50"/>
      <c r="AX18" s="50"/>
      <c r="AY18" s="50"/>
      <c r="AZ18" s="37">
        <f>(Q18-AL18)*J18</f>
        <v>0</v>
      </c>
    </row>
    <row r="19" spans="1:65" s="29" customFormat="1" ht="43.5" customHeight="1" thickBot="1">
      <c r="A19" s="23">
        <v>2</v>
      </c>
      <c r="B19" s="24" t="s">
        <v>0</v>
      </c>
      <c r="C19" s="58" t="s">
        <v>5</v>
      </c>
      <c r="D19" s="26">
        <f aca="true" t="shared" si="10" ref="D19:J19">SUM(D20:D26)</f>
        <v>22974.5511</v>
      </c>
      <c r="E19" s="59">
        <f t="shared" si="10"/>
        <v>596.5599</v>
      </c>
      <c r="F19" s="59">
        <f t="shared" si="10"/>
        <v>9370.6893</v>
      </c>
      <c r="G19" s="59">
        <f t="shared" si="10"/>
        <v>7269.813499999999</v>
      </c>
      <c r="H19" s="59">
        <f t="shared" si="10"/>
        <v>1255.433</v>
      </c>
      <c r="I19" s="59">
        <f t="shared" si="10"/>
        <v>4370.4204</v>
      </c>
      <c r="J19" s="59">
        <f t="shared" si="10"/>
        <v>111.635</v>
      </c>
      <c r="K19" s="27">
        <f t="shared" si="5"/>
        <v>97.32885792924155</v>
      </c>
      <c r="L19" s="61">
        <f>L22</f>
        <v>91.02</v>
      </c>
      <c r="M19" s="27">
        <f>T19/F19</f>
        <v>101.55875619523529</v>
      </c>
      <c r="N19" s="27">
        <f>U19/G19</f>
        <v>94.62506294006029</v>
      </c>
      <c r="O19" s="27">
        <f>O22</f>
        <v>90.44</v>
      </c>
      <c r="P19" s="27">
        <f>W19/I19</f>
        <v>95.71761334447369</v>
      </c>
      <c r="Q19" s="27">
        <f>Q26</f>
        <v>92.65</v>
      </c>
      <c r="R19" s="27">
        <f aca="true" t="shared" si="11" ref="R19:AE19">SUM(R20:R26)</f>
        <v>2236086.8200000003</v>
      </c>
      <c r="S19" s="27">
        <f t="shared" si="11"/>
        <v>54296.37</v>
      </c>
      <c r="T19" s="27">
        <f t="shared" si="11"/>
        <v>951675.55</v>
      </c>
      <c r="U19" s="27">
        <f t="shared" si="11"/>
        <v>687906.5599999999</v>
      </c>
      <c r="V19" s="27">
        <f t="shared" si="11"/>
        <v>113538.3</v>
      </c>
      <c r="W19" s="27">
        <f t="shared" si="11"/>
        <v>418326.21</v>
      </c>
      <c r="X19" s="27">
        <f t="shared" si="11"/>
        <v>10343.83</v>
      </c>
      <c r="Y19" s="59">
        <f t="shared" si="11"/>
        <v>22881.52888159233</v>
      </c>
      <c r="Z19" s="59">
        <f t="shared" si="11"/>
        <v>596.5599384683002</v>
      </c>
      <c r="AA19" s="59">
        <f t="shared" si="11"/>
        <v>9397.36716249647</v>
      </c>
      <c r="AB19" s="59">
        <f t="shared" si="11"/>
        <v>7269.813678208289</v>
      </c>
      <c r="AC19" s="59">
        <f t="shared" si="11"/>
        <v>1255.432883679788</v>
      </c>
      <c r="AD19" s="59">
        <f t="shared" si="11"/>
        <v>4250.719885262255</v>
      </c>
      <c r="AE19" s="59">
        <f t="shared" si="11"/>
        <v>111.63533347722857</v>
      </c>
      <c r="AF19" s="28">
        <f>AM19/Y19</f>
        <v>96.99012559363382</v>
      </c>
      <c r="AG19" s="101">
        <f>AG22</f>
        <v>91.01</v>
      </c>
      <c r="AH19" s="101">
        <f>AO19/AA19</f>
        <v>101.56882065959807</v>
      </c>
      <c r="AI19" s="101">
        <f>AP19/AB19</f>
        <v>94.6241513812138</v>
      </c>
      <c r="AJ19" s="101">
        <f>AJ22</f>
        <v>90.44</v>
      </c>
      <c r="AK19" s="27">
        <f>AR19/AD19</f>
        <v>93.80164319517377</v>
      </c>
      <c r="AL19" s="27">
        <f>AL26</f>
        <v>92.66</v>
      </c>
      <c r="AM19" s="27">
        <f aca="true" t="shared" si="12" ref="AM19:AZ19">SUM(AM20:AM26)</f>
        <v>2219282.36</v>
      </c>
      <c r="AN19" s="27">
        <f t="shared" si="12"/>
        <v>54292.92</v>
      </c>
      <c r="AO19" s="27">
        <f t="shared" si="12"/>
        <v>954479.5</v>
      </c>
      <c r="AP19" s="27">
        <f t="shared" si="12"/>
        <v>687899.95</v>
      </c>
      <c r="AQ19" s="27">
        <f t="shared" si="12"/>
        <v>113541.35</v>
      </c>
      <c r="AR19" s="27">
        <f t="shared" si="12"/>
        <v>398724.51</v>
      </c>
      <c r="AS19" s="27">
        <f t="shared" si="12"/>
        <v>10344.13</v>
      </c>
      <c r="AT19" s="118">
        <f t="shared" si="12"/>
        <v>8326.188164999972</v>
      </c>
      <c r="AU19" s="27">
        <f t="shared" si="12"/>
        <v>5.965598999994574</v>
      </c>
      <c r="AV19" s="27">
        <f t="shared" si="12"/>
        <v>0</v>
      </c>
      <c r="AW19" s="27">
        <f t="shared" si="12"/>
        <v>2.615920000001338</v>
      </c>
      <c r="AX19" s="27">
        <f t="shared" si="12"/>
        <v>0</v>
      </c>
      <c r="AY19" s="27">
        <f t="shared" si="12"/>
        <v>8318.722995999975</v>
      </c>
      <c r="AZ19" s="27">
        <f t="shared" si="12"/>
        <v>-1.1163499999989848</v>
      </c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</row>
    <row r="20" spans="1:52" s="4" customFormat="1" ht="41.25" customHeight="1">
      <c r="A20" s="70"/>
      <c r="B20" s="47" t="s">
        <v>24</v>
      </c>
      <c r="C20" s="47"/>
      <c r="D20" s="64">
        <f aca="true" t="shared" si="13" ref="D20:D25">SUM(E20:I20)</f>
        <v>261.592</v>
      </c>
      <c r="E20" s="69"/>
      <c r="F20" s="69"/>
      <c r="G20" s="69">
        <v>261.592</v>
      </c>
      <c r="H20" s="69"/>
      <c r="I20" s="69"/>
      <c r="J20" s="34"/>
      <c r="K20" s="14">
        <f t="shared" si="5"/>
        <v>104.3843848435732</v>
      </c>
      <c r="L20" s="50"/>
      <c r="M20" s="73"/>
      <c r="N20" s="142">
        <v>104.39</v>
      </c>
      <c r="O20" s="50"/>
      <c r="P20" s="50"/>
      <c r="Q20" s="50"/>
      <c r="R20" s="63">
        <f aca="true" t="shared" si="14" ref="R20:R25">SUM(S20:W20)</f>
        <v>27306.12</v>
      </c>
      <c r="S20" s="50"/>
      <c r="T20" s="50"/>
      <c r="U20" s="50">
        <v>27306.12</v>
      </c>
      <c r="V20" s="73"/>
      <c r="W20" s="73"/>
      <c r="X20" s="73"/>
      <c r="Y20" s="100">
        <f aca="true" t="shared" si="15" ref="Y20:Y25">SUM(Z20:AD20)</f>
        <v>261.59216324966474</v>
      </c>
      <c r="Z20" s="98"/>
      <c r="AA20" s="98"/>
      <c r="AB20" s="98">
        <f>AP20/AI20</f>
        <v>261.59216324966474</v>
      </c>
      <c r="AC20" s="98"/>
      <c r="AD20" s="98"/>
      <c r="AE20" s="98"/>
      <c r="AF20" s="63">
        <f>AI20</f>
        <v>104.38</v>
      </c>
      <c r="AG20" s="73"/>
      <c r="AH20" s="73"/>
      <c r="AI20" s="73">
        <v>104.38</v>
      </c>
      <c r="AJ20" s="73"/>
      <c r="AK20" s="73"/>
      <c r="AL20" s="73"/>
      <c r="AM20" s="63">
        <f aca="true" t="shared" si="16" ref="AM20:AM25">SUM(AN20:AR20)</f>
        <v>27304.99</v>
      </c>
      <c r="AN20" s="73"/>
      <c r="AO20" s="73"/>
      <c r="AP20" s="73">
        <v>27304.99</v>
      </c>
      <c r="AQ20" s="73"/>
      <c r="AR20" s="73"/>
      <c r="AS20" s="73"/>
      <c r="AT20" s="63">
        <f aca="true" t="shared" si="17" ref="AT20:AT25">SUM(AU20:AY20)</f>
        <v>2.615920000001338</v>
      </c>
      <c r="AU20" s="73"/>
      <c r="AV20" s="73"/>
      <c r="AW20" s="37">
        <f>(N20-AI20)*G20</f>
        <v>2.615920000001338</v>
      </c>
      <c r="AX20" s="73"/>
      <c r="AY20" s="73"/>
      <c r="AZ20" s="73"/>
    </row>
    <row r="21" spans="1:52" s="4" customFormat="1" ht="58.5" customHeight="1">
      <c r="A21" s="66"/>
      <c r="B21" s="55" t="s">
        <v>43</v>
      </c>
      <c r="C21" s="47"/>
      <c r="D21" s="62">
        <f t="shared" si="13"/>
        <v>238.494</v>
      </c>
      <c r="E21" s="68"/>
      <c r="F21" s="69">
        <v>238.494</v>
      </c>
      <c r="G21" s="69"/>
      <c r="H21" s="69"/>
      <c r="I21" s="69"/>
      <c r="J21" s="69"/>
      <c r="K21" s="57">
        <f t="shared" si="5"/>
        <v>83.75137320016437</v>
      </c>
      <c r="L21" s="50"/>
      <c r="M21" s="36">
        <v>83.75</v>
      </c>
      <c r="N21" s="50"/>
      <c r="O21" s="50"/>
      <c r="P21" s="50"/>
      <c r="Q21" s="50"/>
      <c r="R21" s="35">
        <f t="shared" si="14"/>
        <v>19974.2</v>
      </c>
      <c r="S21" s="50"/>
      <c r="T21" s="50">
        <v>19974.2</v>
      </c>
      <c r="U21" s="50"/>
      <c r="V21" s="36"/>
      <c r="W21" s="36"/>
      <c r="X21" s="36"/>
      <c r="Y21" s="62">
        <f t="shared" si="15"/>
        <v>238.49432835820897</v>
      </c>
      <c r="Z21" s="34"/>
      <c r="AA21" s="34">
        <f>AO21/AH21</f>
        <v>238.49432835820897</v>
      </c>
      <c r="AB21" s="34"/>
      <c r="AC21" s="34"/>
      <c r="AD21" s="34"/>
      <c r="AE21" s="34"/>
      <c r="AF21" s="14">
        <f>AH21</f>
        <v>83.75</v>
      </c>
      <c r="AG21" s="36"/>
      <c r="AH21" s="36">
        <v>83.75</v>
      </c>
      <c r="AI21" s="36"/>
      <c r="AJ21" s="36"/>
      <c r="AK21" s="36"/>
      <c r="AL21" s="36"/>
      <c r="AM21" s="35">
        <f t="shared" si="16"/>
        <v>19973.9</v>
      </c>
      <c r="AN21" s="36"/>
      <c r="AO21" s="36">
        <v>19973.9</v>
      </c>
      <c r="AP21" s="36"/>
      <c r="AQ21" s="36"/>
      <c r="AR21" s="36"/>
      <c r="AS21" s="36"/>
      <c r="AT21" s="35">
        <f t="shared" si="17"/>
        <v>0</v>
      </c>
      <c r="AU21" s="13"/>
      <c r="AV21" s="13">
        <f>(M21-AH21)*F21</f>
        <v>0</v>
      </c>
      <c r="AW21" s="13"/>
      <c r="AX21" s="13"/>
      <c r="AY21" s="13"/>
      <c r="AZ21" s="36"/>
    </row>
    <row r="22" spans="1:52" ht="40.5" customHeight="1">
      <c r="A22" s="9"/>
      <c r="B22" s="39" t="s">
        <v>35</v>
      </c>
      <c r="C22" s="40"/>
      <c r="D22" s="64">
        <f t="shared" si="13"/>
        <v>13369.485100000002</v>
      </c>
      <c r="E22" s="65">
        <v>596.5599</v>
      </c>
      <c r="F22" s="65">
        <v>609.4653</v>
      </c>
      <c r="G22" s="65">
        <v>7008.2215</v>
      </c>
      <c r="H22" s="65">
        <v>1255.433</v>
      </c>
      <c r="I22" s="65">
        <v>3899.8054</v>
      </c>
      <c r="J22" s="65"/>
      <c r="K22" s="14">
        <f t="shared" si="5"/>
        <v>94.37896976301651</v>
      </c>
      <c r="L22" s="14">
        <v>91.02</v>
      </c>
      <c r="M22" s="13">
        <v>94.26</v>
      </c>
      <c r="N22" s="13">
        <f>M22</f>
        <v>94.26</v>
      </c>
      <c r="O22" s="13">
        <v>90.44</v>
      </c>
      <c r="P22" s="130">
        <f>W22/I22</f>
        <v>96.39311233324617</v>
      </c>
      <c r="Q22" s="13"/>
      <c r="R22" s="14">
        <f t="shared" si="14"/>
        <v>1261798.23</v>
      </c>
      <c r="S22" s="13">
        <v>54296.37</v>
      </c>
      <c r="T22" s="13">
        <v>57448.74</v>
      </c>
      <c r="U22" s="13">
        <v>660600.44</v>
      </c>
      <c r="V22" s="13">
        <v>113538.3</v>
      </c>
      <c r="W22" s="13">
        <v>375914.38</v>
      </c>
      <c r="X22" s="13"/>
      <c r="Y22" s="64">
        <f t="shared" si="15"/>
        <v>13249.78446229237</v>
      </c>
      <c r="Z22" s="65">
        <f>AN22/AG22</f>
        <v>596.5599384683002</v>
      </c>
      <c r="AA22" s="65">
        <f>AO22/AH22</f>
        <v>609.4653087205601</v>
      </c>
      <c r="AB22" s="65">
        <f>AP22/AI22</f>
        <v>7008.2215149586245</v>
      </c>
      <c r="AC22" s="65">
        <f>AQ22/AJ22</f>
        <v>1255.432883679788</v>
      </c>
      <c r="AD22" s="65">
        <f>AR22/AK22</f>
        <v>3780.104816465096</v>
      </c>
      <c r="AE22" s="65"/>
      <c r="AF22" s="14">
        <f>AM22/Y22</f>
        <v>93.7517220400947</v>
      </c>
      <c r="AG22" s="13">
        <v>91.01</v>
      </c>
      <c r="AH22" s="13">
        <v>94.26</v>
      </c>
      <c r="AI22" s="13">
        <f>AH22</f>
        <v>94.26</v>
      </c>
      <c r="AJ22" s="13">
        <v>90.44</v>
      </c>
      <c r="AK22" s="13">
        <f>AH22</f>
        <v>94.26</v>
      </c>
      <c r="AL22" s="13"/>
      <c r="AM22" s="14">
        <f t="shared" si="16"/>
        <v>1242190.1099999999</v>
      </c>
      <c r="AN22" s="13">
        <f>54292.92</f>
        <v>54292.92</v>
      </c>
      <c r="AO22" s="13">
        <f>57448.2</f>
        <v>57448.2</v>
      </c>
      <c r="AP22" s="13">
        <f>267769.56+392825.4</f>
        <v>660594.96</v>
      </c>
      <c r="AQ22" s="13">
        <f>113541.35</f>
        <v>113541.35</v>
      </c>
      <c r="AR22" s="13">
        <f>355581.98+730.7</f>
        <v>356312.68</v>
      </c>
      <c r="AS22" s="13"/>
      <c r="AT22" s="14">
        <f t="shared" si="17"/>
        <v>8324.688594999969</v>
      </c>
      <c r="AU22" s="37">
        <f>(L22-AG22)*E22</f>
        <v>5.965598999994574</v>
      </c>
      <c r="AV22" s="37">
        <f>(M22-AH22)*F22</f>
        <v>0</v>
      </c>
      <c r="AW22" s="37">
        <f>(N22-AI22)*G22</f>
        <v>0</v>
      </c>
      <c r="AX22" s="37">
        <f>(O22-AJ22)*H22</f>
        <v>0</v>
      </c>
      <c r="AY22" s="37">
        <f>(P22-AK22)*I22</f>
        <v>8318.722995999975</v>
      </c>
      <c r="AZ22" s="13"/>
    </row>
    <row r="23" spans="1:52" s="4" customFormat="1" ht="42" customHeight="1">
      <c r="A23" s="66"/>
      <c r="B23" s="39" t="s">
        <v>23</v>
      </c>
      <c r="C23" s="39"/>
      <c r="D23" s="64">
        <f t="shared" si="13"/>
        <v>508.56</v>
      </c>
      <c r="E23" s="65"/>
      <c r="F23" s="65">
        <v>508.56</v>
      </c>
      <c r="G23" s="65"/>
      <c r="H23" s="65"/>
      <c r="I23" s="65"/>
      <c r="J23" s="65"/>
      <c r="K23" s="14">
        <f aca="true" t="shared" si="18" ref="K23:K46">R23/D23</f>
        <v>90.67954616957684</v>
      </c>
      <c r="L23" s="13"/>
      <c r="M23" s="13">
        <v>90.68</v>
      </c>
      <c r="N23" s="13"/>
      <c r="O23" s="13"/>
      <c r="P23" s="13"/>
      <c r="Q23" s="13"/>
      <c r="R23" s="14">
        <f t="shared" si="14"/>
        <v>46115.99</v>
      </c>
      <c r="S23" s="13"/>
      <c r="T23" s="13">
        <v>46115.99</v>
      </c>
      <c r="U23" s="13"/>
      <c r="V23" s="13"/>
      <c r="W23" s="13"/>
      <c r="X23" s="13"/>
      <c r="Y23" s="64">
        <f t="shared" si="15"/>
        <v>508.5603220114689</v>
      </c>
      <c r="Z23" s="65"/>
      <c r="AA23" s="65">
        <f>AO23/AH23</f>
        <v>508.5603220114689</v>
      </c>
      <c r="AB23" s="65"/>
      <c r="AC23" s="65"/>
      <c r="AD23" s="65"/>
      <c r="AE23" s="65"/>
      <c r="AF23" s="15">
        <f>AH23</f>
        <v>90.68</v>
      </c>
      <c r="AG23" s="13"/>
      <c r="AH23" s="13">
        <v>90.68</v>
      </c>
      <c r="AI23" s="13"/>
      <c r="AJ23" s="13"/>
      <c r="AK23" s="13"/>
      <c r="AL23" s="13"/>
      <c r="AM23" s="14">
        <f t="shared" si="16"/>
        <v>46116.25</v>
      </c>
      <c r="AN23" s="13"/>
      <c r="AO23" s="13">
        <v>46116.25</v>
      </c>
      <c r="AP23" s="13"/>
      <c r="AQ23" s="13"/>
      <c r="AR23" s="13"/>
      <c r="AS23" s="13"/>
      <c r="AT23" s="14">
        <f t="shared" si="17"/>
        <v>0</v>
      </c>
      <c r="AU23" s="13"/>
      <c r="AV23" s="37">
        <f>(M23-AH23)*F23</f>
        <v>0</v>
      </c>
      <c r="AW23" s="13"/>
      <c r="AX23" s="13"/>
      <c r="AY23" s="13"/>
      <c r="AZ23" s="13"/>
    </row>
    <row r="24" spans="1:52" s="4" customFormat="1" ht="57" customHeight="1">
      <c r="A24" s="66"/>
      <c r="B24" s="43" t="s">
        <v>41</v>
      </c>
      <c r="C24" s="43"/>
      <c r="D24" s="67">
        <f t="shared" si="13"/>
        <v>8014.17</v>
      </c>
      <c r="E24" s="34"/>
      <c r="F24" s="97">
        <v>8014.17</v>
      </c>
      <c r="G24" s="34"/>
      <c r="H24" s="34"/>
      <c r="I24" s="97"/>
      <c r="J24" s="97"/>
      <c r="K24" s="15">
        <f t="shared" si="18"/>
        <v>103.3340470691288</v>
      </c>
      <c r="L24" s="37"/>
      <c r="M24" s="139">
        <v>103.34</v>
      </c>
      <c r="N24" s="37"/>
      <c r="O24" s="37"/>
      <c r="P24" s="37"/>
      <c r="Q24" s="37"/>
      <c r="R24" s="15">
        <f t="shared" si="14"/>
        <v>828136.62</v>
      </c>
      <c r="S24" s="37"/>
      <c r="T24" s="37">
        <v>828136.62</v>
      </c>
      <c r="U24" s="37"/>
      <c r="V24" s="37"/>
      <c r="W24" s="37"/>
      <c r="X24" s="37"/>
      <c r="Y24" s="67">
        <f t="shared" si="15"/>
        <v>8040.8472034062315</v>
      </c>
      <c r="Z24" s="97"/>
      <c r="AA24" s="97">
        <f>AO24/AH24</f>
        <v>8040.8472034062315</v>
      </c>
      <c r="AB24" s="97"/>
      <c r="AC24" s="97"/>
      <c r="AD24" s="97"/>
      <c r="AE24" s="97"/>
      <c r="AF24" s="15">
        <f>AH24</f>
        <v>103.34</v>
      </c>
      <c r="AG24" s="37"/>
      <c r="AH24" s="37">
        <v>103.34</v>
      </c>
      <c r="AI24" s="37"/>
      <c r="AJ24" s="37"/>
      <c r="AK24" s="37"/>
      <c r="AL24" s="37"/>
      <c r="AM24" s="15">
        <f t="shared" si="16"/>
        <v>830941.15</v>
      </c>
      <c r="AN24" s="37"/>
      <c r="AO24" s="36">
        <v>830941.15</v>
      </c>
      <c r="AP24" s="37"/>
      <c r="AQ24" s="37"/>
      <c r="AR24" s="37"/>
      <c r="AS24" s="37"/>
      <c r="AT24" s="15">
        <f t="shared" si="17"/>
        <v>0</v>
      </c>
      <c r="AU24" s="37"/>
      <c r="AV24" s="37">
        <f>(M24-AH24)*F24</f>
        <v>0</v>
      </c>
      <c r="AW24" s="37"/>
      <c r="AX24" s="37"/>
      <c r="AY24" s="37"/>
      <c r="AZ24" s="37"/>
    </row>
    <row r="25" spans="1:52" ht="65.25" customHeight="1">
      <c r="A25" s="9"/>
      <c r="B25" s="39" t="s">
        <v>42</v>
      </c>
      <c r="C25" s="40"/>
      <c r="D25" s="64">
        <f t="shared" si="13"/>
        <v>470.615</v>
      </c>
      <c r="E25" s="65"/>
      <c r="F25" s="65"/>
      <c r="G25" s="65"/>
      <c r="H25" s="65"/>
      <c r="I25" s="65">
        <v>470.615</v>
      </c>
      <c r="J25" s="65"/>
      <c r="K25" s="14">
        <f t="shared" si="18"/>
        <v>90.12001317425072</v>
      </c>
      <c r="L25" s="13"/>
      <c r="M25" s="13"/>
      <c r="N25" s="13"/>
      <c r="O25" s="13"/>
      <c r="P25" s="13">
        <v>90.12</v>
      </c>
      <c r="Q25" s="13"/>
      <c r="R25" s="14">
        <f t="shared" si="14"/>
        <v>42411.83</v>
      </c>
      <c r="S25" s="13"/>
      <c r="T25" s="13"/>
      <c r="U25" s="13"/>
      <c r="V25" s="13"/>
      <c r="W25" s="13">
        <v>42411.83</v>
      </c>
      <c r="X25" s="13"/>
      <c r="Y25" s="64">
        <f t="shared" si="15"/>
        <v>470.6150687971593</v>
      </c>
      <c r="Z25" s="65"/>
      <c r="AA25" s="65"/>
      <c r="AB25" s="65"/>
      <c r="AC25" s="65"/>
      <c r="AD25" s="65">
        <f>AR25/AK25</f>
        <v>470.6150687971593</v>
      </c>
      <c r="AE25" s="65"/>
      <c r="AF25" s="14">
        <f>AK25</f>
        <v>90.12</v>
      </c>
      <c r="AG25" s="13"/>
      <c r="AH25" s="13"/>
      <c r="AI25" s="13"/>
      <c r="AJ25" s="13"/>
      <c r="AK25" s="37">
        <v>90.12</v>
      </c>
      <c r="AL25" s="13"/>
      <c r="AM25" s="14">
        <f t="shared" si="16"/>
        <v>42411.83</v>
      </c>
      <c r="AN25" s="13"/>
      <c r="AO25" s="13"/>
      <c r="AP25" s="13"/>
      <c r="AQ25" s="13"/>
      <c r="AR25" s="13">
        <v>42411.83</v>
      </c>
      <c r="AS25" s="13"/>
      <c r="AT25" s="14">
        <f t="shared" si="17"/>
        <v>0</v>
      </c>
      <c r="AU25" s="37"/>
      <c r="AV25" s="37"/>
      <c r="AW25" s="37"/>
      <c r="AX25" s="37"/>
      <c r="AY25" s="37">
        <f>(P25-AK25)*I25</f>
        <v>0</v>
      </c>
      <c r="AZ25" s="13"/>
    </row>
    <row r="26" spans="1:52" ht="58.5" customHeight="1" thickBot="1">
      <c r="A26" s="38">
        <v>36</v>
      </c>
      <c r="B26" s="39" t="s">
        <v>37</v>
      </c>
      <c r="C26" s="106"/>
      <c r="D26" s="62">
        <f>SUM(E26:J26)</f>
        <v>111.635</v>
      </c>
      <c r="E26" s="42"/>
      <c r="F26" s="42"/>
      <c r="G26" s="76"/>
      <c r="H26" s="42"/>
      <c r="I26" s="107"/>
      <c r="J26" s="69">
        <v>111.635</v>
      </c>
      <c r="K26" s="35">
        <f t="shared" si="18"/>
        <v>92.65758946566936</v>
      </c>
      <c r="L26" s="108"/>
      <c r="M26" s="13"/>
      <c r="N26" s="13"/>
      <c r="O26" s="13"/>
      <c r="P26" s="13"/>
      <c r="Q26" s="130">
        <v>92.65</v>
      </c>
      <c r="R26" s="57">
        <f>SUM(S26:X26)</f>
        <v>10343.83</v>
      </c>
      <c r="S26" s="13"/>
      <c r="T26" s="13"/>
      <c r="U26" s="13"/>
      <c r="V26" s="13"/>
      <c r="W26" s="13"/>
      <c r="X26" s="13">
        <v>10343.83</v>
      </c>
      <c r="Y26" s="64">
        <f>AE26</f>
        <v>111.63533347722857</v>
      </c>
      <c r="Z26" s="65"/>
      <c r="AA26" s="65"/>
      <c r="AB26" s="65"/>
      <c r="AC26" s="65"/>
      <c r="AD26" s="65"/>
      <c r="AE26" s="65">
        <f>AS26/AL26</f>
        <v>111.63533347722857</v>
      </c>
      <c r="AF26" s="14">
        <f>AL26</f>
        <v>92.66</v>
      </c>
      <c r="AG26" s="13"/>
      <c r="AH26" s="13"/>
      <c r="AI26" s="13"/>
      <c r="AJ26" s="13"/>
      <c r="AK26" s="109"/>
      <c r="AL26" s="109">
        <v>92.66</v>
      </c>
      <c r="AM26" s="14">
        <f>AS26</f>
        <v>10344.13</v>
      </c>
      <c r="AN26" s="13"/>
      <c r="AO26" s="13"/>
      <c r="AP26" s="13"/>
      <c r="AQ26" s="13"/>
      <c r="AR26" s="13"/>
      <c r="AS26" s="13">
        <v>10344.13</v>
      </c>
      <c r="AT26" s="57">
        <f>SUM(AU26:AZ26)</f>
        <v>-1.1163499999989848</v>
      </c>
      <c r="AU26" s="36"/>
      <c r="AV26" s="36"/>
      <c r="AW26" s="36"/>
      <c r="AX26" s="36"/>
      <c r="AY26" s="36"/>
      <c r="AZ26" s="37">
        <f>(Q26-AL26)*J26</f>
        <v>-1.1163499999989848</v>
      </c>
    </row>
    <row r="27" spans="1:65" s="29" customFormat="1" ht="43.5" customHeight="1" thickBot="1">
      <c r="A27" s="23">
        <v>3</v>
      </c>
      <c r="B27" s="24" t="s">
        <v>1</v>
      </c>
      <c r="C27" s="24" t="s">
        <v>5</v>
      </c>
      <c r="D27" s="71">
        <f aca="true" t="shared" si="19" ref="D27:J27">SUM(D28:D36)</f>
        <v>67834.467</v>
      </c>
      <c r="E27" s="71">
        <f t="shared" si="19"/>
        <v>8354.14</v>
      </c>
      <c r="F27" s="71">
        <f t="shared" si="19"/>
        <v>28335.394</v>
      </c>
      <c r="G27" s="71">
        <f t="shared" si="19"/>
        <v>13326.07</v>
      </c>
      <c r="H27" s="71">
        <f t="shared" si="19"/>
        <v>8715.15</v>
      </c>
      <c r="I27" s="71">
        <f t="shared" si="19"/>
        <v>7807.473</v>
      </c>
      <c r="J27" s="71">
        <f t="shared" si="19"/>
        <v>1296.24</v>
      </c>
      <c r="K27" s="28">
        <f t="shared" si="18"/>
        <v>26.4280605315289</v>
      </c>
      <c r="L27" s="28">
        <f>S27/E27</f>
        <v>20.67562789227856</v>
      </c>
      <c r="M27" s="28">
        <f>T27/F27</f>
        <v>34.53116162775079</v>
      </c>
      <c r="N27" s="28">
        <f>U27/G27</f>
        <v>21.05524059231266</v>
      </c>
      <c r="O27" s="28">
        <f>O32</f>
        <v>20.91</v>
      </c>
      <c r="P27" s="28">
        <f>W27/I27</f>
        <v>19.656800606290922</v>
      </c>
      <c r="Q27" s="28">
        <f>Q33</f>
        <v>19.49</v>
      </c>
      <c r="R27" s="28">
        <f aca="true" t="shared" si="20" ref="R27:AE27">SUM(R28:R36)</f>
        <v>1792733.3999999997</v>
      </c>
      <c r="S27" s="28">
        <f t="shared" si="20"/>
        <v>172727.09</v>
      </c>
      <c r="T27" s="28">
        <f t="shared" si="20"/>
        <v>978454.0700000001</v>
      </c>
      <c r="U27" s="28">
        <f t="shared" si="20"/>
        <v>280583.61</v>
      </c>
      <c r="V27" s="28">
        <f t="shared" si="20"/>
        <v>182230.3</v>
      </c>
      <c r="W27" s="28">
        <f t="shared" si="20"/>
        <v>153469.94</v>
      </c>
      <c r="X27" s="28">
        <f t="shared" si="20"/>
        <v>25268.39</v>
      </c>
      <c r="Y27" s="60">
        <f t="shared" si="20"/>
        <v>67986.93098514623</v>
      </c>
      <c r="Z27" s="60">
        <f t="shared" si="20"/>
        <v>8600.511125146219</v>
      </c>
      <c r="AA27" s="60">
        <f t="shared" si="20"/>
        <v>28433.789796003333</v>
      </c>
      <c r="AB27" s="60">
        <f t="shared" si="20"/>
        <v>13319.862797581613</v>
      </c>
      <c r="AC27" s="60">
        <f t="shared" si="20"/>
        <v>8732.072214251555</v>
      </c>
      <c r="AD27" s="60">
        <f t="shared" si="20"/>
        <v>7604.45082435437</v>
      </c>
      <c r="AE27" s="60">
        <f t="shared" si="20"/>
        <v>1296.244227809133</v>
      </c>
      <c r="AF27" s="28">
        <f>AM27/Y27</f>
        <v>21.860806164712972</v>
      </c>
      <c r="AG27" s="101">
        <f>AN27/Z27</f>
        <v>20.67201790835162</v>
      </c>
      <c r="AH27" s="101">
        <f>AO27/AA27</f>
        <v>23.593280206857774</v>
      </c>
      <c r="AI27" s="101">
        <f>AP27/AB27</f>
        <v>21.041765539123055</v>
      </c>
      <c r="AJ27" s="101">
        <f>AJ32</f>
        <v>20.91</v>
      </c>
      <c r="AK27" s="27">
        <f>AR27/AD27</f>
        <v>19.65795735324408</v>
      </c>
      <c r="AL27" s="101">
        <f>AL33</f>
        <v>19.49</v>
      </c>
      <c r="AM27" s="101">
        <f aca="true" t="shared" si="21" ref="AM27:AZ27">SUM(AM28:AM36)</f>
        <v>1486249.12</v>
      </c>
      <c r="AN27" s="119">
        <f t="shared" si="21"/>
        <v>177789.91999999998</v>
      </c>
      <c r="AO27" s="119">
        <f t="shared" si="21"/>
        <v>670846.37</v>
      </c>
      <c r="AP27" s="119">
        <f t="shared" si="21"/>
        <v>280273.43</v>
      </c>
      <c r="AQ27" s="119">
        <f t="shared" si="21"/>
        <v>182587.63</v>
      </c>
      <c r="AR27" s="119">
        <f t="shared" si="21"/>
        <v>149487.96999999997</v>
      </c>
      <c r="AS27" s="119">
        <f t="shared" si="21"/>
        <v>25263.8</v>
      </c>
      <c r="AT27" s="118">
        <f t="shared" si="21"/>
        <v>0</v>
      </c>
      <c r="AU27" s="28">
        <f t="shared" si="21"/>
        <v>0</v>
      </c>
      <c r="AV27" s="28">
        <f t="shared" si="21"/>
        <v>0</v>
      </c>
      <c r="AW27" s="28">
        <f t="shared" si="21"/>
        <v>0</v>
      </c>
      <c r="AX27" s="28">
        <f t="shared" si="21"/>
        <v>0</v>
      </c>
      <c r="AY27" s="28">
        <f t="shared" si="21"/>
        <v>0</v>
      </c>
      <c r="AZ27" s="28">
        <f t="shared" si="21"/>
        <v>0</v>
      </c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</row>
    <row r="28" spans="1:52" ht="51" customHeight="1">
      <c r="A28" s="74"/>
      <c r="B28" s="47" t="s">
        <v>20</v>
      </c>
      <c r="C28" s="32"/>
      <c r="D28" s="75">
        <f aca="true" t="shared" si="22" ref="D28:D36">SUM(E28:J28)</f>
        <v>115.7</v>
      </c>
      <c r="E28" s="76">
        <v>115.7</v>
      </c>
      <c r="F28" s="76"/>
      <c r="G28" s="76"/>
      <c r="H28" s="76"/>
      <c r="I28" s="76"/>
      <c r="J28" s="76"/>
      <c r="K28" s="14">
        <f t="shared" si="18"/>
        <v>20.819965427830596</v>
      </c>
      <c r="L28" s="37">
        <v>20.82</v>
      </c>
      <c r="M28" s="36"/>
      <c r="N28" s="36"/>
      <c r="O28" s="37"/>
      <c r="P28" s="37"/>
      <c r="Q28" s="37"/>
      <c r="R28" s="14">
        <f aca="true" t="shared" si="23" ref="R28:R36">SUM(S28:X28)</f>
        <v>2408.87</v>
      </c>
      <c r="S28" s="36">
        <v>2408.87</v>
      </c>
      <c r="T28" s="36"/>
      <c r="U28" s="36"/>
      <c r="V28" s="13"/>
      <c r="W28" s="13"/>
      <c r="X28" s="13"/>
      <c r="Y28" s="64">
        <f>SUM(Z28:AD28)</f>
        <v>115.70028818443805</v>
      </c>
      <c r="Z28" s="65">
        <f>AN28/AG28</f>
        <v>115.70028818443805</v>
      </c>
      <c r="AA28" s="65"/>
      <c r="AB28" s="65"/>
      <c r="AC28" s="65"/>
      <c r="AD28" s="65"/>
      <c r="AE28" s="65"/>
      <c r="AF28" s="14">
        <f>AG28</f>
        <v>20.82</v>
      </c>
      <c r="AG28" s="13">
        <v>20.82</v>
      </c>
      <c r="AH28" s="13"/>
      <c r="AI28" s="13"/>
      <c r="AJ28" s="13"/>
      <c r="AK28" s="13"/>
      <c r="AL28" s="13"/>
      <c r="AM28" s="14">
        <f>SUM(AN28:AR28)</f>
        <v>2408.88</v>
      </c>
      <c r="AN28" s="36">
        <v>2408.88</v>
      </c>
      <c r="AO28" s="36"/>
      <c r="AP28" s="36"/>
      <c r="AQ28" s="13"/>
      <c r="AR28" s="13"/>
      <c r="AS28" s="13"/>
      <c r="AT28" s="14">
        <f>SUM(AU28:AY28)</f>
        <v>0</v>
      </c>
      <c r="AU28" s="37">
        <f>(L28-AG28)*E28</f>
        <v>0</v>
      </c>
      <c r="AV28" s="37"/>
      <c r="AW28" s="37"/>
      <c r="AX28" s="37"/>
      <c r="AY28" s="37"/>
      <c r="AZ28" s="13"/>
    </row>
    <row r="29" spans="1:52" ht="54" customHeight="1">
      <c r="A29" s="74"/>
      <c r="B29" s="47" t="s">
        <v>21</v>
      </c>
      <c r="C29" s="48"/>
      <c r="D29" s="75">
        <f t="shared" si="22"/>
        <v>376.74</v>
      </c>
      <c r="E29" s="76"/>
      <c r="F29" s="76"/>
      <c r="G29" s="76">
        <v>376.74</v>
      </c>
      <c r="H29" s="76"/>
      <c r="I29" s="76"/>
      <c r="J29" s="76"/>
      <c r="K29" s="14">
        <f t="shared" si="18"/>
        <v>23.499999999999996</v>
      </c>
      <c r="L29" s="37"/>
      <c r="M29" s="13"/>
      <c r="N29" s="50">
        <v>23.5</v>
      </c>
      <c r="O29" s="37"/>
      <c r="P29" s="37"/>
      <c r="Q29" s="37"/>
      <c r="R29" s="14">
        <f t="shared" si="23"/>
        <v>8853.39</v>
      </c>
      <c r="S29" s="50"/>
      <c r="T29" s="50"/>
      <c r="U29" s="50">
        <v>8853.39</v>
      </c>
      <c r="V29" s="36"/>
      <c r="W29" s="36"/>
      <c r="X29" s="13"/>
      <c r="Y29" s="67">
        <f>SUM(Z29:AD29)</f>
        <v>376.7395744680851</v>
      </c>
      <c r="Z29" s="97"/>
      <c r="AA29" s="97"/>
      <c r="AB29" s="97">
        <f>AP29/AI29</f>
        <v>376.7395744680851</v>
      </c>
      <c r="AC29" s="97"/>
      <c r="AD29" s="97"/>
      <c r="AE29" s="97"/>
      <c r="AF29" s="14">
        <f>AI29</f>
        <v>23.5</v>
      </c>
      <c r="AG29" s="13"/>
      <c r="AH29" s="13"/>
      <c r="AI29" s="13">
        <v>23.5</v>
      </c>
      <c r="AJ29" s="13"/>
      <c r="AK29" s="13"/>
      <c r="AL29" s="37"/>
      <c r="AM29" s="15">
        <f>SUM(AN29:AR29)</f>
        <v>8853.38</v>
      </c>
      <c r="AN29" s="50"/>
      <c r="AO29" s="50"/>
      <c r="AP29" s="50">
        <v>8853.38</v>
      </c>
      <c r="AQ29" s="36"/>
      <c r="AR29" s="36"/>
      <c r="AS29" s="13"/>
      <c r="AT29" s="14">
        <f>SUM(AU29:AY29)</f>
        <v>0</v>
      </c>
      <c r="AU29" s="37"/>
      <c r="AV29" s="37"/>
      <c r="AW29" s="37">
        <f>(N29-AI29)*G29</f>
        <v>0</v>
      </c>
      <c r="AX29" s="37"/>
      <c r="AY29" s="37"/>
      <c r="AZ29" s="13"/>
    </row>
    <row r="30" spans="1:52" ht="59.25" customHeight="1">
      <c r="A30" s="38"/>
      <c r="B30" s="54" t="s">
        <v>39</v>
      </c>
      <c r="C30" s="40"/>
      <c r="D30" s="75">
        <f t="shared" si="22"/>
        <v>8012.975</v>
      </c>
      <c r="E30" s="76"/>
      <c r="F30" s="65">
        <v>8012.975</v>
      </c>
      <c r="G30" s="76"/>
      <c r="H30" s="76"/>
      <c r="I30" s="76"/>
      <c r="J30" s="76"/>
      <c r="K30" s="14">
        <f t="shared" si="18"/>
        <v>62.08898193242834</v>
      </c>
      <c r="L30" s="13"/>
      <c r="M30" s="37">
        <v>23.4</v>
      </c>
      <c r="N30" s="13"/>
      <c r="O30" s="37"/>
      <c r="P30" s="37"/>
      <c r="Q30" s="37"/>
      <c r="R30" s="14">
        <f t="shared" si="23"/>
        <v>497517.46</v>
      </c>
      <c r="S30" s="13"/>
      <c r="T30" s="13">
        <v>497517.46</v>
      </c>
      <c r="U30" s="13"/>
      <c r="V30" s="13"/>
      <c r="W30" s="13"/>
      <c r="X30" s="37"/>
      <c r="Y30" s="67">
        <f>SUM(Z30:AD30)</f>
        <v>8012.974786324788</v>
      </c>
      <c r="Z30" s="97"/>
      <c r="AA30" s="97">
        <f>AO30/AH30</f>
        <v>8012.974786324788</v>
      </c>
      <c r="AB30" s="97"/>
      <c r="AC30" s="97"/>
      <c r="AD30" s="97"/>
      <c r="AE30" s="97"/>
      <c r="AF30" s="14">
        <f>AH30</f>
        <v>23.4</v>
      </c>
      <c r="AG30" s="37"/>
      <c r="AH30" s="37">
        <v>23.4</v>
      </c>
      <c r="AI30" s="37"/>
      <c r="AJ30" s="37"/>
      <c r="AK30" s="37"/>
      <c r="AL30" s="37"/>
      <c r="AM30" s="15">
        <f>SUM(AN30:AR30)</f>
        <v>187503.61000000002</v>
      </c>
      <c r="AN30" s="13"/>
      <c r="AO30" s="13">
        <f>187170.23+333.38</f>
        <v>187503.61000000002</v>
      </c>
      <c r="AP30" s="13"/>
      <c r="AQ30" s="13"/>
      <c r="AR30" s="13"/>
      <c r="AS30" s="37"/>
      <c r="AT30" s="15">
        <f>SUM(AU30:AY30)</f>
        <v>0</v>
      </c>
      <c r="AU30" s="37"/>
      <c r="AV30" s="37">
        <f>(M30-AH30)*F30</f>
        <v>0</v>
      </c>
      <c r="AW30" s="37"/>
      <c r="AX30" s="37"/>
      <c r="AY30" s="37"/>
      <c r="AZ30" s="13"/>
    </row>
    <row r="31" spans="1:52" ht="35.25" customHeight="1">
      <c r="A31" s="38"/>
      <c r="B31" s="39" t="s">
        <v>22</v>
      </c>
      <c r="C31" s="40"/>
      <c r="D31" s="75">
        <f t="shared" si="22"/>
        <v>119.9</v>
      </c>
      <c r="E31" s="76"/>
      <c r="F31" s="76"/>
      <c r="G31" s="77">
        <v>119.9</v>
      </c>
      <c r="H31" s="76"/>
      <c r="I31" s="76"/>
      <c r="J31" s="76"/>
      <c r="K31" s="14">
        <f t="shared" si="18"/>
        <v>28.95721434528774</v>
      </c>
      <c r="L31" s="13"/>
      <c r="M31" s="122"/>
      <c r="N31" s="13">
        <v>28.96</v>
      </c>
      <c r="O31" s="13"/>
      <c r="P31" s="13"/>
      <c r="Q31" s="13"/>
      <c r="R31" s="14">
        <f t="shared" si="23"/>
        <v>3471.97</v>
      </c>
      <c r="S31" s="13"/>
      <c r="T31" s="13"/>
      <c r="U31" s="13">
        <v>3471.97</v>
      </c>
      <c r="V31" s="13"/>
      <c r="W31" s="13"/>
      <c r="X31" s="13"/>
      <c r="Y31" s="64">
        <f>SUM(Z31:AD31)</f>
        <v>96.81284530386739</v>
      </c>
      <c r="Z31" s="65"/>
      <c r="AA31" s="65"/>
      <c r="AB31" s="65">
        <f>AP31/AI31</f>
        <v>96.81284530386739</v>
      </c>
      <c r="AC31" s="65"/>
      <c r="AD31" s="65"/>
      <c r="AE31" s="65"/>
      <c r="AF31" s="14">
        <f>AI31</f>
        <v>28.96</v>
      </c>
      <c r="AG31" s="13"/>
      <c r="AH31" s="13"/>
      <c r="AI31" s="13">
        <v>28.96</v>
      </c>
      <c r="AJ31" s="13"/>
      <c r="AK31" s="13"/>
      <c r="AL31" s="13"/>
      <c r="AM31" s="14">
        <f>SUM(AN31:AR31)</f>
        <v>2803.7</v>
      </c>
      <c r="AN31" s="13"/>
      <c r="AO31" s="13"/>
      <c r="AP31" s="13">
        <v>2803.7</v>
      </c>
      <c r="AQ31" s="13"/>
      <c r="AR31" s="13"/>
      <c r="AS31" s="13"/>
      <c r="AT31" s="15">
        <f>SUM(AU31:AY31)</f>
        <v>0</v>
      </c>
      <c r="AU31" s="37"/>
      <c r="AV31" s="37"/>
      <c r="AW31" s="37">
        <f>(N31-AI31)*G31</f>
        <v>0</v>
      </c>
      <c r="AX31" s="37"/>
      <c r="AY31" s="37"/>
      <c r="AZ31" s="13"/>
    </row>
    <row r="32" spans="1:52" ht="42" customHeight="1">
      <c r="A32" s="9"/>
      <c r="B32" s="43" t="s">
        <v>25</v>
      </c>
      <c r="C32" s="32"/>
      <c r="D32" s="75">
        <f t="shared" si="22"/>
        <v>38440.85</v>
      </c>
      <c r="E32" s="34">
        <v>3811.44</v>
      </c>
      <c r="F32" s="34">
        <v>6123.2</v>
      </c>
      <c r="G32" s="34">
        <v>12829.43</v>
      </c>
      <c r="H32" s="34">
        <v>8715.15</v>
      </c>
      <c r="I32" s="34">
        <v>6961.63</v>
      </c>
      <c r="J32" s="96"/>
      <c r="K32" s="120">
        <f t="shared" si="18"/>
        <v>20.629763389727334</v>
      </c>
      <c r="L32" s="36">
        <v>20.67</v>
      </c>
      <c r="M32" s="36">
        <v>20.91</v>
      </c>
      <c r="N32" s="36">
        <v>20.91</v>
      </c>
      <c r="O32" s="36">
        <v>20.91</v>
      </c>
      <c r="P32" s="36">
        <v>19.49</v>
      </c>
      <c r="Q32" s="36"/>
      <c r="R32" s="14">
        <f t="shared" si="23"/>
        <v>793025.6399999999</v>
      </c>
      <c r="S32" s="36">
        <v>78796.19</v>
      </c>
      <c r="T32" s="36">
        <v>128033.67</v>
      </c>
      <c r="U32" s="36">
        <v>268258.25</v>
      </c>
      <c r="V32" s="36">
        <v>182230.3</v>
      </c>
      <c r="W32" s="36">
        <v>135707.23</v>
      </c>
      <c r="X32" s="36"/>
      <c r="Y32" s="67">
        <f>SUM(Z32:AD32)</f>
        <v>38280.35487753272</v>
      </c>
      <c r="Z32" s="97">
        <f>AN32/AG32</f>
        <v>3820.157716497339</v>
      </c>
      <c r="AA32" s="97">
        <f>AO32/AH32</f>
        <v>6123.207077953132</v>
      </c>
      <c r="AB32" s="97">
        <f>AP32/AI32</f>
        <v>12846.31037780966</v>
      </c>
      <c r="AC32" s="97">
        <f>AQ32/AJ32</f>
        <v>8732.072214251555</v>
      </c>
      <c r="AD32" s="97">
        <f>AR32/AK32</f>
        <v>6758.607491021036</v>
      </c>
      <c r="AE32" s="97"/>
      <c r="AF32" s="121">
        <f>AM32/Y32</f>
        <v>20.63534056899822</v>
      </c>
      <c r="AG32" s="37">
        <v>20.67</v>
      </c>
      <c r="AH32" s="37">
        <v>20.91</v>
      </c>
      <c r="AI32" s="37">
        <f>AH32</f>
        <v>20.91</v>
      </c>
      <c r="AJ32" s="37">
        <f>AH32</f>
        <v>20.91</v>
      </c>
      <c r="AK32" s="37">
        <v>19.49</v>
      </c>
      <c r="AL32" s="37"/>
      <c r="AM32" s="15">
        <f>SUM(AN32:AS32)</f>
        <v>789928.1599999999</v>
      </c>
      <c r="AN32" s="36">
        <f>78952.31+10.35</f>
        <v>78962.66</v>
      </c>
      <c r="AO32" s="36">
        <f>69979.22+34821.96+23235.08</f>
        <v>128036.26</v>
      </c>
      <c r="AP32" s="36">
        <f>104960.05+163656.3</f>
        <v>268616.35</v>
      </c>
      <c r="AQ32" s="36">
        <f>121548.87+45596.59+15432.72+3.98+5.47</f>
        <v>182587.63</v>
      </c>
      <c r="AR32" s="36">
        <f>130825.29+899.97</f>
        <v>131725.25999999998</v>
      </c>
      <c r="AS32" s="37"/>
      <c r="AT32" s="15">
        <f>SUM(AU32:AY32)</f>
        <v>0</v>
      </c>
      <c r="AU32" s="37">
        <f>(L32-AG32)*E32</f>
        <v>0</v>
      </c>
      <c r="AV32" s="37">
        <f>(M32-AH32)*F32</f>
        <v>0</v>
      </c>
      <c r="AW32" s="37">
        <f>(N32-AI32)*G32</f>
        <v>0</v>
      </c>
      <c r="AX32" s="37">
        <f>(O32-AJ32)*H32</f>
        <v>0</v>
      </c>
      <c r="AY32" s="37">
        <f>(P32-AK32)*I32</f>
        <v>0</v>
      </c>
      <c r="AZ32" s="37"/>
    </row>
    <row r="33" spans="1:52" ht="84" customHeight="1">
      <c r="A33" s="74"/>
      <c r="B33" s="31" t="s">
        <v>27</v>
      </c>
      <c r="C33" s="40"/>
      <c r="D33" s="75">
        <f t="shared" si="22"/>
        <v>19302.2</v>
      </c>
      <c r="E33" s="65">
        <v>4427</v>
      </c>
      <c r="F33" s="65">
        <v>13578.96</v>
      </c>
      <c r="G33" s="76"/>
      <c r="H33" s="76"/>
      <c r="I33" s="76"/>
      <c r="J33" s="65">
        <v>1296.24</v>
      </c>
      <c r="K33" s="14">
        <f t="shared" si="18"/>
        <v>23.640903627565773</v>
      </c>
      <c r="L33" s="13">
        <v>20.67</v>
      </c>
      <c r="M33" s="13">
        <v>25</v>
      </c>
      <c r="N33" s="13"/>
      <c r="O33" s="13"/>
      <c r="P33" s="13"/>
      <c r="Q33" s="13">
        <v>19.49</v>
      </c>
      <c r="R33" s="14">
        <f t="shared" si="23"/>
        <v>456321.45000000007</v>
      </c>
      <c r="S33" s="13">
        <v>91522.03</v>
      </c>
      <c r="T33" s="13">
        <v>339531.03</v>
      </c>
      <c r="U33" s="13"/>
      <c r="V33" s="13"/>
      <c r="W33" s="13"/>
      <c r="X33" s="13">
        <v>25268.39</v>
      </c>
      <c r="Y33" s="64">
        <f>SUM(Z33:AE33)</f>
        <v>19638.244148273574</v>
      </c>
      <c r="Z33" s="65">
        <f>AN33/AG33</f>
        <v>4664.653120464441</v>
      </c>
      <c r="AA33" s="65">
        <f>AO33/AH33</f>
        <v>13677.3468</v>
      </c>
      <c r="AB33" s="65"/>
      <c r="AC33" s="65"/>
      <c r="AD33" s="65"/>
      <c r="AE33" s="65">
        <f>AS33/AL33</f>
        <v>1296.244227809133</v>
      </c>
      <c r="AF33" s="14">
        <f>AM33/Y33</f>
        <v>23.607805590947248</v>
      </c>
      <c r="AG33" s="13">
        <v>20.67</v>
      </c>
      <c r="AH33" s="13">
        <v>25</v>
      </c>
      <c r="AI33" s="13"/>
      <c r="AJ33" s="13"/>
      <c r="AK33" s="13"/>
      <c r="AL33" s="37">
        <v>19.49</v>
      </c>
      <c r="AM33" s="15">
        <f>SUM(AN33:AS33)</f>
        <v>463615.85</v>
      </c>
      <c r="AN33" s="13">
        <f>96311.51+106.87</f>
        <v>96418.37999999999</v>
      </c>
      <c r="AO33" s="13">
        <f>275902.37+65624+407.3</f>
        <v>341933.67</v>
      </c>
      <c r="AP33" s="13"/>
      <c r="AQ33" s="13"/>
      <c r="AR33" s="13"/>
      <c r="AS33" s="37">
        <v>25263.8</v>
      </c>
      <c r="AT33" s="14">
        <f>SUM(AU33:AZ33)</f>
        <v>0</v>
      </c>
      <c r="AU33" s="37">
        <f>(L33-AG33)*E33</f>
        <v>0</v>
      </c>
      <c r="AV33" s="37">
        <f>(M33-AH33)*F33</f>
        <v>0</v>
      </c>
      <c r="AW33" s="37"/>
      <c r="AX33" s="37"/>
      <c r="AY33" s="37"/>
      <c r="AZ33" s="37">
        <f>(Q33-AL33)*J33</f>
        <v>0</v>
      </c>
    </row>
    <row r="34" spans="1:52" ht="39.75" customHeight="1">
      <c r="A34" s="38"/>
      <c r="B34" s="39" t="s">
        <v>23</v>
      </c>
      <c r="C34" s="40"/>
      <c r="D34" s="75">
        <f t="shared" si="22"/>
        <v>620.259</v>
      </c>
      <c r="E34" s="76"/>
      <c r="F34" s="65">
        <v>620.259</v>
      </c>
      <c r="G34" s="76"/>
      <c r="H34" s="76"/>
      <c r="I34" s="76"/>
      <c r="J34" s="76"/>
      <c r="K34" s="14">
        <f t="shared" si="18"/>
        <v>21.558590846726933</v>
      </c>
      <c r="L34" s="13"/>
      <c r="M34" s="13">
        <v>21.56</v>
      </c>
      <c r="N34" s="13"/>
      <c r="O34" s="37"/>
      <c r="P34" s="37"/>
      <c r="Q34" s="37"/>
      <c r="R34" s="14">
        <f t="shared" si="23"/>
        <v>13371.91</v>
      </c>
      <c r="S34" s="13"/>
      <c r="T34" s="13">
        <v>13371.91</v>
      </c>
      <c r="U34" s="13"/>
      <c r="V34" s="13"/>
      <c r="W34" s="13"/>
      <c r="X34" s="13"/>
      <c r="Y34" s="67">
        <f>SUM(Z34:AD34)</f>
        <v>620.2611317254176</v>
      </c>
      <c r="Z34" s="97"/>
      <c r="AA34" s="97">
        <f>AO34/AH34</f>
        <v>620.2611317254176</v>
      </c>
      <c r="AB34" s="97"/>
      <c r="AC34" s="97"/>
      <c r="AD34" s="97"/>
      <c r="AE34" s="97"/>
      <c r="AF34" s="14">
        <f>AH34</f>
        <v>21.56</v>
      </c>
      <c r="AG34" s="37"/>
      <c r="AH34" s="37">
        <v>21.56</v>
      </c>
      <c r="AI34" s="37"/>
      <c r="AJ34" s="37"/>
      <c r="AK34" s="37"/>
      <c r="AL34" s="37"/>
      <c r="AM34" s="15">
        <f>SUM(AN34:AR34)</f>
        <v>13372.830000000002</v>
      </c>
      <c r="AN34" s="13"/>
      <c r="AO34" s="13">
        <f>13079.54+293.29</f>
        <v>13372.830000000002</v>
      </c>
      <c r="AP34" s="13"/>
      <c r="AQ34" s="13"/>
      <c r="AR34" s="13"/>
      <c r="AS34" s="37"/>
      <c r="AT34" s="14">
        <f>SUM(AU34:AZ34)</f>
        <v>0</v>
      </c>
      <c r="AU34" s="37"/>
      <c r="AV34" s="37">
        <f>(M34-AH34)*F34</f>
        <v>0</v>
      </c>
      <c r="AW34" s="37"/>
      <c r="AX34" s="37"/>
      <c r="AY34" s="37"/>
      <c r="AZ34" s="13"/>
    </row>
    <row r="35" spans="1:52" ht="39.75" customHeight="1">
      <c r="A35" s="38"/>
      <c r="B35" s="39" t="s">
        <v>44</v>
      </c>
      <c r="C35" s="40"/>
      <c r="D35" s="75">
        <f t="shared" si="22"/>
        <v>0</v>
      </c>
      <c r="E35" s="76"/>
      <c r="F35" s="76"/>
      <c r="G35" s="76"/>
      <c r="H35" s="76"/>
      <c r="I35" s="76"/>
      <c r="J35" s="76"/>
      <c r="K35" s="14" t="e">
        <f t="shared" si="18"/>
        <v>#DIV/0!</v>
      </c>
      <c r="L35" s="13"/>
      <c r="M35" s="37"/>
      <c r="N35" s="13"/>
      <c r="O35" s="37"/>
      <c r="P35" s="37"/>
      <c r="Q35" s="37"/>
      <c r="R35" s="14">
        <f t="shared" si="23"/>
        <v>0</v>
      </c>
      <c r="S35" s="13"/>
      <c r="T35" s="13"/>
      <c r="U35" s="13"/>
      <c r="V35" s="13"/>
      <c r="W35" s="13"/>
      <c r="X35" s="37"/>
      <c r="Y35" s="67">
        <f>SUM(Z35:AD35)</f>
        <v>0</v>
      </c>
      <c r="Z35" s="97"/>
      <c r="AA35" s="97"/>
      <c r="AB35" s="97"/>
      <c r="AC35" s="97"/>
      <c r="AD35" s="97"/>
      <c r="AE35" s="97"/>
      <c r="AF35" s="14">
        <f>AJ35</f>
        <v>0</v>
      </c>
      <c r="AG35" s="37"/>
      <c r="AH35" s="37"/>
      <c r="AI35" s="37"/>
      <c r="AJ35" s="139"/>
      <c r="AK35" s="37"/>
      <c r="AL35" s="37"/>
      <c r="AM35" s="15">
        <f>SUM(AN35:AR35)</f>
        <v>0</v>
      </c>
      <c r="AN35" s="13"/>
      <c r="AO35" s="13"/>
      <c r="AP35" s="13"/>
      <c r="AQ35" s="13"/>
      <c r="AR35" s="13"/>
      <c r="AS35" s="37"/>
      <c r="AT35" s="14">
        <f>SUM(AU35:AZ35)</f>
        <v>0</v>
      </c>
      <c r="AU35" s="37"/>
      <c r="AV35" s="37"/>
      <c r="AW35" s="37"/>
      <c r="AX35" s="37"/>
      <c r="AY35" s="37"/>
      <c r="AZ35" s="13"/>
    </row>
    <row r="36" spans="1:52" ht="43.5" customHeight="1" thickBot="1">
      <c r="A36" s="78"/>
      <c r="B36" s="79" t="s">
        <v>26</v>
      </c>
      <c r="C36" s="80"/>
      <c r="D36" s="75">
        <f t="shared" si="22"/>
        <v>845.843</v>
      </c>
      <c r="E36" s="81"/>
      <c r="F36" s="81"/>
      <c r="G36" s="81"/>
      <c r="H36" s="81"/>
      <c r="I36" s="34">
        <v>845.843</v>
      </c>
      <c r="J36" s="96"/>
      <c r="K36" s="82">
        <f t="shared" si="18"/>
        <v>21.000008275767488</v>
      </c>
      <c r="L36" s="83"/>
      <c r="M36" s="83"/>
      <c r="N36" s="83"/>
      <c r="O36" s="83"/>
      <c r="P36" s="84">
        <v>21</v>
      </c>
      <c r="Q36" s="84"/>
      <c r="R36" s="14">
        <f t="shared" si="23"/>
        <v>17762.71</v>
      </c>
      <c r="S36" s="83"/>
      <c r="T36" s="83"/>
      <c r="U36" s="83"/>
      <c r="V36" s="83"/>
      <c r="W36" s="83">
        <v>17762.71</v>
      </c>
      <c r="X36" s="84"/>
      <c r="Y36" s="87">
        <f>SUM(Z36:AD36)</f>
        <v>845.8433333333332</v>
      </c>
      <c r="Z36" s="99"/>
      <c r="AA36" s="99"/>
      <c r="AB36" s="99"/>
      <c r="AC36" s="99"/>
      <c r="AD36" s="99">
        <f>AR36/AK36</f>
        <v>845.8433333333332</v>
      </c>
      <c r="AE36" s="99"/>
      <c r="AF36" s="85">
        <f>AK36</f>
        <v>21</v>
      </c>
      <c r="AG36" s="84"/>
      <c r="AH36" s="84"/>
      <c r="AI36" s="84"/>
      <c r="AJ36" s="84"/>
      <c r="AK36" s="84">
        <v>21</v>
      </c>
      <c r="AL36" s="84"/>
      <c r="AM36" s="86">
        <f>SUM(AN36:AR36)</f>
        <v>17762.71</v>
      </c>
      <c r="AN36" s="83"/>
      <c r="AO36" s="83"/>
      <c r="AP36" s="83"/>
      <c r="AQ36" s="83"/>
      <c r="AR36" s="83">
        <v>17762.71</v>
      </c>
      <c r="AS36" s="84"/>
      <c r="AT36" s="14">
        <f>SUM(AU36:AZ36)</f>
        <v>0</v>
      </c>
      <c r="AU36" s="36"/>
      <c r="AV36" s="36"/>
      <c r="AW36" s="36"/>
      <c r="AX36" s="36"/>
      <c r="AY36" s="37">
        <f>(P36-AK36)*I36</f>
        <v>0</v>
      </c>
      <c r="AZ36" s="50"/>
    </row>
    <row r="37" spans="1:65" s="29" customFormat="1" ht="36.75" customHeight="1" thickBot="1">
      <c r="A37" s="23">
        <v>4</v>
      </c>
      <c r="B37" s="24" t="s">
        <v>3</v>
      </c>
      <c r="C37" s="24" t="s">
        <v>5</v>
      </c>
      <c r="D37" s="27">
        <f aca="true" t="shared" si="24" ref="D37:J37">SUM(D38:D46)</f>
        <v>87207.737</v>
      </c>
      <c r="E37" s="27">
        <f t="shared" si="24"/>
        <v>8648.74</v>
      </c>
      <c r="F37" s="27">
        <f t="shared" si="24"/>
        <v>37096.168999999994</v>
      </c>
      <c r="G37" s="27">
        <f t="shared" si="24"/>
        <v>20132.49</v>
      </c>
      <c r="H37" s="27">
        <f t="shared" si="24"/>
        <v>9262.45</v>
      </c>
      <c r="I37" s="27">
        <f t="shared" si="24"/>
        <v>12067.888</v>
      </c>
      <c r="J37" s="27">
        <f t="shared" si="24"/>
        <v>0</v>
      </c>
      <c r="K37" s="28">
        <f t="shared" si="18"/>
        <v>20.27323538965356</v>
      </c>
      <c r="L37" s="28">
        <f>S37/E37</f>
        <v>17.70000023124756</v>
      </c>
      <c r="M37" s="28">
        <f>T37/F37</f>
        <v>22.447389378671424</v>
      </c>
      <c r="N37" s="28">
        <f>U37/G37</f>
        <v>20.095256970200904</v>
      </c>
      <c r="O37" s="28">
        <f>V37/H37</f>
        <v>17.32292320066505</v>
      </c>
      <c r="P37" s="28">
        <f>W37/I37</f>
        <v>17.995515039582735</v>
      </c>
      <c r="Q37" s="28"/>
      <c r="R37" s="27">
        <f aca="true" t="shared" si="25" ref="R37:AE37">SUM(R38:R46)</f>
        <v>1767982.98</v>
      </c>
      <c r="S37" s="61">
        <f t="shared" si="25"/>
        <v>153082.7</v>
      </c>
      <c r="T37" s="61">
        <f t="shared" si="25"/>
        <v>832712.15</v>
      </c>
      <c r="U37" s="61">
        <f t="shared" si="25"/>
        <v>404567.56</v>
      </c>
      <c r="V37" s="61">
        <f t="shared" si="25"/>
        <v>160452.71</v>
      </c>
      <c r="W37" s="61">
        <f t="shared" si="25"/>
        <v>217167.86000000002</v>
      </c>
      <c r="X37" s="61">
        <f t="shared" si="25"/>
        <v>0</v>
      </c>
      <c r="Y37" s="59">
        <f t="shared" si="25"/>
        <v>87676.87369844144</v>
      </c>
      <c r="Z37" s="59">
        <f t="shared" si="25"/>
        <v>9254.234463276836</v>
      </c>
      <c r="AA37" s="59">
        <f t="shared" si="25"/>
        <v>36430.372</v>
      </c>
      <c r="AB37" s="59">
        <f t="shared" si="25"/>
        <v>20245.293069873995</v>
      </c>
      <c r="AC37" s="59">
        <f t="shared" si="25"/>
        <v>9741.303609735054</v>
      </c>
      <c r="AD37" s="59">
        <f t="shared" si="25"/>
        <v>12005.670555555556</v>
      </c>
      <c r="AE37" s="59">
        <f t="shared" si="25"/>
        <v>0</v>
      </c>
      <c r="AF37" s="86">
        <f>AM37/Y37</f>
        <v>20.2456071381518</v>
      </c>
      <c r="AG37" s="101">
        <f>AG40</f>
        <v>17.7</v>
      </c>
      <c r="AH37" s="101">
        <f>AO37/AA37</f>
        <v>22.49494460281657</v>
      </c>
      <c r="AI37" s="101">
        <f>AP37/AB37</f>
        <v>20.093228020755536</v>
      </c>
      <c r="AJ37" s="101">
        <f>AQ37/AC37</f>
        <v>17.336183817454504</v>
      </c>
      <c r="AK37" s="27">
        <f>AK40</f>
        <v>18</v>
      </c>
      <c r="AL37" s="27"/>
      <c r="AM37" s="27">
        <f aca="true" t="shared" si="26" ref="AM37:AZ37">SUM(AM38:AM46)</f>
        <v>1775071.54</v>
      </c>
      <c r="AN37" s="27">
        <f t="shared" si="26"/>
        <v>163799.95</v>
      </c>
      <c r="AO37" s="27">
        <f t="shared" si="26"/>
        <v>819499.2</v>
      </c>
      <c r="AP37" s="27">
        <f t="shared" si="26"/>
        <v>406793.29</v>
      </c>
      <c r="AQ37" s="27">
        <f t="shared" si="26"/>
        <v>168877.03</v>
      </c>
      <c r="AR37" s="27">
        <f t="shared" si="26"/>
        <v>216102.07</v>
      </c>
      <c r="AS37" s="27">
        <f t="shared" si="26"/>
        <v>0</v>
      </c>
      <c r="AT37" s="118">
        <f t="shared" si="26"/>
        <v>-108.25530000001693</v>
      </c>
      <c r="AU37" s="27">
        <f t="shared" si="26"/>
        <v>0</v>
      </c>
      <c r="AV37" s="27">
        <f t="shared" si="26"/>
        <v>0</v>
      </c>
      <c r="AW37" s="27">
        <f t="shared" si="26"/>
        <v>0</v>
      </c>
      <c r="AX37" s="27">
        <f t="shared" si="26"/>
        <v>0</v>
      </c>
      <c r="AY37" s="27">
        <f t="shared" si="26"/>
        <v>-108.25530000001693</v>
      </c>
      <c r="AZ37" s="27">
        <f t="shared" si="26"/>
        <v>0</v>
      </c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</row>
    <row r="38" spans="1:52" s="4" customFormat="1" ht="56.25" customHeight="1">
      <c r="A38" s="123"/>
      <c r="B38" s="124" t="s">
        <v>39</v>
      </c>
      <c r="C38" s="72"/>
      <c r="D38" s="100">
        <f>SUM(E38:I38)</f>
        <v>14014.489</v>
      </c>
      <c r="E38" s="37"/>
      <c r="F38" s="128">
        <v>14014.489</v>
      </c>
      <c r="G38" s="37"/>
      <c r="H38" s="37"/>
      <c r="I38" s="37"/>
      <c r="J38" s="37"/>
      <c r="K38" s="63">
        <f t="shared" si="18"/>
        <v>26.50000010703209</v>
      </c>
      <c r="L38" s="73"/>
      <c r="M38" s="145">
        <v>26.5</v>
      </c>
      <c r="N38" s="73"/>
      <c r="O38" s="73"/>
      <c r="P38" s="73"/>
      <c r="Q38" s="37"/>
      <c r="R38" s="15">
        <f>SUM(S38:W38)</f>
        <v>371383.96</v>
      </c>
      <c r="S38" s="13"/>
      <c r="T38" s="13">
        <v>371383.96</v>
      </c>
      <c r="U38" s="13"/>
      <c r="V38" s="13"/>
      <c r="W38" s="13"/>
      <c r="X38" s="13"/>
      <c r="Y38" s="67">
        <f>SUM(Z38:AD38)</f>
        <v>14014.489</v>
      </c>
      <c r="Z38" s="97"/>
      <c r="AA38" s="97">
        <f>ROUND(AO38/AH38,3)</f>
        <v>14014.489</v>
      </c>
      <c r="AB38" s="97"/>
      <c r="AC38" s="97"/>
      <c r="AD38" s="97"/>
      <c r="AE38" s="97"/>
      <c r="AF38" s="14">
        <f>AH38</f>
        <v>26.5</v>
      </c>
      <c r="AG38" s="37"/>
      <c r="AH38" s="37">
        <v>26.5</v>
      </c>
      <c r="AI38" s="13"/>
      <c r="AJ38" s="13"/>
      <c r="AK38" s="13"/>
      <c r="AL38" s="37"/>
      <c r="AM38" s="15">
        <f>SUM(AN38:AR38)</f>
        <v>371383.95999999996</v>
      </c>
      <c r="AN38" s="13"/>
      <c r="AO38" s="13">
        <f>23567.22+347816.74</f>
        <v>371383.95999999996</v>
      </c>
      <c r="AP38" s="13"/>
      <c r="AQ38" s="13"/>
      <c r="AR38" s="13"/>
      <c r="AS38" s="13"/>
      <c r="AT38" s="15">
        <f>SUM(AU38:AY38)</f>
        <v>0</v>
      </c>
      <c r="AU38" s="37"/>
      <c r="AV38" s="37">
        <f>(M38-AH38)*F38</f>
        <v>0</v>
      </c>
      <c r="AW38" s="37"/>
      <c r="AX38" s="37"/>
      <c r="AY38" s="37"/>
      <c r="AZ38" s="13"/>
    </row>
    <row r="39" spans="1:52" ht="45.75" customHeight="1">
      <c r="A39" s="38"/>
      <c r="B39" s="39" t="s">
        <v>24</v>
      </c>
      <c r="C39" s="40"/>
      <c r="D39" s="14">
        <f>SUM(E39:I39)</f>
        <v>638.33</v>
      </c>
      <c r="E39" s="13"/>
      <c r="F39" s="13"/>
      <c r="G39" s="13">
        <v>638.33</v>
      </c>
      <c r="H39" s="13"/>
      <c r="I39" s="13"/>
      <c r="J39" s="13"/>
      <c r="K39" s="14">
        <f t="shared" si="18"/>
        <v>29.099995300236554</v>
      </c>
      <c r="L39" s="13"/>
      <c r="M39" s="13"/>
      <c r="N39" s="13">
        <v>29.1</v>
      </c>
      <c r="O39" s="13"/>
      <c r="P39" s="13"/>
      <c r="Q39" s="13"/>
      <c r="R39" s="14">
        <f>SUM(S39:W39)</f>
        <v>18575.4</v>
      </c>
      <c r="S39" s="13"/>
      <c r="T39" s="13"/>
      <c r="U39" s="13">
        <v>18575.4</v>
      </c>
      <c r="V39" s="13"/>
      <c r="W39" s="13"/>
      <c r="X39" s="13"/>
      <c r="Y39" s="64">
        <f>SUM(Z39:AD39)</f>
        <v>638.3319587628865</v>
      </c>
      <c r="Z39" s="65"/>
      <c r="AA39" s="65"/>
      <c r="AB39" s="65">
        <f>AP39/AI39</f>
        <v>638.3319587628865</v>
      </c>
      <c r="AC39" s="65"/>
      <c r="AD39" s="65"/>
      <c r="AE39" s="97"/>
      <c r="AF39" s="14">
        <f>AI39</f>
        <v>29.1</v>
      </c>
      <c r="AG39" s="127"/>
      <c r="AH39" s="13"/>
      <c r="AI39" s="127">
        <v>29.1</v>
      </c>
      <c r="AJ39" s="13"/>
      <c r="AK39" s="13"/>
      <c r="AL39" s="13"/>
      <c r="AM39" s="14">
        <f>SUM(AN39:AR39)</f>
        <v>18575.46</v>
      </c>
      <c r="AN39" s="13"/>
      <c r="AO39" s="13"/>
      <c r="AP39" s="13">
        <f>7612.34+10963.12</f>
        <v>18575.46</v>
      </c>
      <c r="AQ39" s="13"/>
      <c r="AR39" s="13"/>
      <c r="AS39" s="13"/>
      <c r="AT39" s="15">
        <f>SUM(AU39:AY39)</f>
        <v>0</v>
      </c>
      <c r="AU39" s="37"/>
      <c r="AV39" s="37"/>
      <c r="AW39" s="37">
        <f>(N39-AI39)*G39</f>
        <v>0</v>
      </c>
      <c r="AX39" s="37"/>
      <c r="AY39" s="37"/>
      <c r="AZ39" s="13"/>
    </row>
    <row r="40" spans="1:52" ht="46.5" customHeight="1">
      <c r="A40" s="9"/>
      <c r="B40" s="43" t="s">
        <v>25</v>
      </c>
      <c r="C40" s="10"/>
      <c r="D40" s="15">
        <f aca="true" t="shared" si="27" ref="D40:D46">SUM(E40:I40)</f>
        <v>41234.23</v>
      </c>
      <c r="E40" s="34">
        <v>3704.68</v>
      </c>
      <c r="F40" s="34">
        <v>1637.55</v>
      </c>
      <c r="G40" s="34">
        <v>19494.16</v>
      </c>
      <c r="H40" s="34">
        <v>5572.31</v>
      </c>
      <c r="I40" s="34">
        <v>10825.53</v>
      </c>
      <c r="J40" s="96"/>
      <c r="K40" s="120">
        <f t="shared" si="18"/>
        <v>19.13770500867847</v>
      </c>
      <c r="L40" s="37">
        <v>17.7</v>
      </c>
      <c r="M40" s="37">
        <v>19.8</v>
      </c>
      <c r="N40" s="37">
        <f>M40</f>
        <v>19.8</v>
      </c>
      <c r="O40" s="37">
        <f>N40</f>
        <v>19.8</v>
      </c>
      <c r="P40" s="37">
        <v>17.99</v>
      </c>
      <c r="Q40" s="37"/>
      <c r="R40" s="15">
        <f aca="true" t="shared" si="28" ref="R40:R46">SUM(S40:W40)</f>
        <v>789128.53</v>
      </c>
      <c r="S40" s="37">
        <v>65572.84</v>
      </c>
      <c r="T40" s="37">
        <v>32424.15</v>
      </c>
      <c r="U40" s="37">
        <v>385992.16</v>
      </c>
      <c r="V40" s="37">
        <v>110333.97</v>
      </c>
      <c r="W40" s="37">
        <v>194805.41</v>
      </c>
      <c r="X40" s="37"/>
      <c r="Y40" s="67">
        <f aca="true" t="shared" si="29" ref="Y40:Y45">SUM(Z40:AD40)</f>
        <v>41010.220429036126</v>
      </c>
      <c r="Z40" s="97">
        <f>AN40/AG40</f>
        <v>4077.7960451977406</v>
      </c>
      <c r="AA40" s="97">
        <f>ROUND(AO40/AH40,3)</f>
        <v>965.746</v>
      </c>
      <c r="AB40" s="97">
        <f>AP40/AI40</f>
        <v>19606.961111111108</v>
      </c>
      <c r="AC40" s="97">
        <f>AQ40/AJ40</f>
        <v>5596.405050505051</v>
      </c>
      <c r="AD40" s="97">
        <f>AR40/AK40</f>
        <v>10763.312222222223</v>
      </c>
      <c r="AE40" s="97"/>
      <c r="AF40" s="15">
        <f>AM40/Y40</f>
        <v>19.118771657341906</v>
      </c>
      <c r="AG40" s="37">
        <v>17.7</v>
      </c>
      <c r="AH40" s="37">
        <v>19.8</v>
      </c>
      <c r="AI40" s="37">
        <f>AH40</f>
        <v>19.8</v>
      </c>
      <c r="AJ40" s="37">
        <f>AH40</f>
        <v>19.8</v>
      </c>
      <c r="AK40" s="37">
        <v>18</v>
      </c>
      <c r="AL40" s="37"/>
      <c r="AM40" s="15">
        <f aca="true" t="shared" si="30" ref="AM40:AM46">SUM(AN40:AR40)</f>
        <v>784065.0399999999</v>
      </c>
      <c r="AN40" s="37">
        <f>72176.99</f>
        <v>72176.99</v>
      </c>
      <c r="AO40" s="37">
        <f>11085.31-13301.73+21338.2</f>
        <v>19121.78</v>
      </c>
      <c r="AP40" s="37">
        <f>56191.71+82466.63+97039.76+152519.73</f>
        <v>388217.82999999996</v>
      </c>
      <c r="AQ40" s="37">
        <f>110808.82</f>
        <v>110808.82</v>
      </c>
      <c r="AR40" s="37">
        <f>67945.52+125794.1</f>
        <v>193739.62</v>
      </c>
      <c r="AS40" s="37"/>
      <c r="AT40" s="15">
        <f aca="true" t="shared" si="31" ref="AT40:AT46">SUM(AU40:AY40)</f>
        <v>-108.25530000001693</v>
      </c>
      <c r="AU40" s="37">
        <f>(L40-AG40)*E40</f>
        <v>0</v>
      </c>
      <c r="AV40" s="37">
        <f>(M40-AH40)*F40</f>
        <v>0</v>
      </c>
      <c r="AW40" s="37">
        <f>(N40-AI40)*G40</f>
        <v>0</v>
      </c>
      <c r="AX40" s="37">
        <f>(O40-AJ40)*H40</f>
        <v>0</v>
      </c>
      <c r="AY40" s="37">
        <f>(P40-AK40)*I40</f>
        <v>-108.25530000001693</v>
      </c>
      <c r="AZ40" s="37"/>
    </row>
    <row r="41" spans="1:52" ht="47.25" customHeight="1">
      <c r="A41" s="38"/>
      <c r="B41" s="43" t="s">
        <v>29</v>
      </c>
      <c r="C41" s="10"/>
      <c r="D41" s="15">
        <f t="shared" si="27"/>
        <v>3690.14</v>
      </c>
      <c r="E41" s="13"/>
      <c r="F41" s="13"/>
      <c r="G41" s="13"/>
      <c r="H41" s="65">
        <v>3690.14</v>
      </c>
      <c r="I41" s="13"/>
      <c r="J41" s="13"/>
      <c r="K41" s="14">
        <f t="shared" si="18"/>
        <v>13.581799064534136</v>
      </c>
      <c r="L41" s="37"/>
      <c r="M41" s="37"/>
      <c r="N41" s="37"/>
      <c r="O41" s="37">
        <v>13.58</v>
      </c>
      <c r="P41" s="37"/>
      <c r="Q41" s="37"/>
      <c r="R41" s="15">
        <f t="shared" si="28"/>
        <v>50118.74</v>
      </c>
      <c r="S41" s="13"/>
      <c r="T41" s="13"/>
      <c r="U41" s="13"/>
      <c r="V41" s="13">
        <v>50118.74</v>
      </c>
      <c r="W41" s="13"/>
      <c r="X41" s="37"/>
      <c r="Y41" s="67">
        <f t="shared" si="29"/>
        <v>3858.6465390279823</v>
      </c>
      <c r="Z41" s="97"/>
      <c r="AA41" s="65"/>
      <c r="AB41" s="97"/>
      <c r="AC41" s="97">
        <f>AQ41/AJ41</f>
        <v>3858.6465390279823</v>
      </c>
      <c r="AD41" s="97"/>
      <c r="AE41" s="97"/>
      <c r="AF41" s="14">
        <f>AJ41</f>
        <v>13.58</v>
      </c>
      <c r="AG41" s="37"/>
      <c r="AH41" s="37"/>
      <c r="AI41" s="13"/>
      <c r="AJ41" s="13">
        <v>13.58</v>
      </c>
      <c r="AK41" s="13"/>
      <c r="AL41" s="37"/>
      <c r="AM41" s="15">
        <f t="shared" si="30"/>
        <v>52400.42</v>
      </c>
      <c r="AN41" s="13"/>
      <c r="AO41" s="13"/>
      <c r="AP41" s="13"/>
      <c r="AQ41" s="13">
        <f>12441.72+28132.26+11826.44</f>
        <v>52400.42</v>
      </c>
      <c r="AR41" s="13"/>
      <c r="AS41" s="37"/>
      <c r="AT41" s="15">
        <f t="shared" si="31"/>
        <v>0</v>
      </c>
      <c r="AU41" s="37"/>
      <c r="AV41" s="37"/>
      <c r="AW41" s="37"/>
      <c r="AX41" s="37"/>
      <c r="AY41" s="37"/>
      <c r="AZ41" s="13"/>
    </row>
    <row r="42" spans="1:52" ht="47.25" customHeight="1">
      <c r="A42" s="38"/>
      <c r="B42" s="43" t="s">
        <v>55</v>
      </c>
      <c r="C42" s="10"/>
      <c r="D42" s="15">
        <f>F42</f>
        <v>0</v>
      </c>
      <c r="E42" s="37"/>
      <c r="F42" s="37">
        <f>T42/M42</f>
        <v>0</v>
      </c>
      <c r="G42" s="37"/>
      <c r="H42" s="97"/>
      <c r="I42" s="37"/>
      <c r="J42" s="37"/>
      <c r="K42" s="14">
        <f>M42</f>
        <v>13.58</v>
      </c>
      <c r="L42" s="37"/>
      <c r="M42" s="37">
        <v>13.58</v>
      </c>
      <c r="N42" s="37"/>
      <c r="O42" s="37"/>
      <c r="P42" s="37"/>
      <c r="Q42" s="37"/>
      <c r="R42" s="15">
        <f>T42</f>
        <v>0</v>
      </c>
      <c r="S42" s="13"/>
      <c r="T42" s="13"/>
      <c r="U42" s="13"/>
      <c r="V42" s="13"/>
      <c r="W42" s="13"/>
      <c r="X42" s="37"/>
      <c r="Y42" s="67">
        <f>AA42</f>
        <v>6</v>
      </c>
      <c r="Z42" s="97"/>
      <c r="AA42" s="97">
        <f>AO42/AH42</f>
        <v>6</v>
      </c>
      <c r="AB42" s="97"/>
      <c r="AC42" s="97"/>
      <c r="AD42" s="97"/>
      <c r="AE42" s="97"/>
      <c r="AF42" s="14">
        <f>AH42</f>
        <v>19.8</v>
      </c>
      <c r="AG42" s="37"/>
      <c r="AH42" s="37">
        <v>19.8</v>
      </c>
      <c r="AI42" s="13"/>
      <c r="AJ42" s="13"/>
      <c r="AK42" s="13"/>
      <c r="AL42" s="37"/>
      <c r="AM42" s="15">
        <f>AO42</f>
        <v>118.8</v>
      </c>
      <c r="AN42" s="13"/>
      <c r="AO42" s="13">
        <v>118.8</v>
      </c>
      <c r="AP42" s="13"/>
      <c r="AQ42" s="13"/>
      <c r="AR42" s="13"/>
      <c r="AS42" s="37"/>
      <c r="AT42" s="15"/>
      <c r="AU42" s="37"/>
      <c r="AV42" s="37"/>
      <c r="AW42" s="37"/>
      <c r="AX42" s="37"/>
      <c r="AY42" s="37"/>
      <c r="AZ42" s="13"/>
    </row>
    <row r="43" spans="1:52" s="4" customFormat="1" ht="39.75" customHeight="1">
      <c r="A43" s="66"/>
      <c r="B43" s="39" t="s">
        <v>44</v>
      </c>
      <c r="C43" s="39"/>
      <c r="D43" s="15">
        <f>SUM(E43:I43)</f>
        <v>0</v>
      </c>
      <c r="E43" s="37"/>
      <c r="F43" s="37"/>
      <c r="G43" s="37"/>
      <c r="H43" s="37"/>
      <c r="I43" s="37"/>
      <c r="J43" s="37"/>
      <c r="K43" s="14" t="e">
        <f t="shared" si="18"/>
        <v>#DIV/0!</v>
      </c>
      <c r="L43" s="13"/>
      <c r="M43" s="37"/>
      <c r="N43" s="13"/>
      <c r="O43" s="139"/>
      <c r="P43" s="37"/>
      <c r="Q43" s="37"/>
      <c r="R43" s="15">
        <f>SUM(S43:W43)</f>
        <v>0</v>
      </c>
      <c r="S43" s="13"/>
      <c r="T43" s="13"/>
      <c r="U43" s="13"/>
      <c r="V43" s="13"/>
      <c r="W43" s="13"/>
      <c r="X43" s="37"/>
      <c r="Y43" s="67">
        <f>SUM(Z43:AD43)</f>
        <v>286.25202020202016</v>
      </c>
      <c r="Z43" s="97"/>
      <c r="AA43" s="97"/>
      <c r="AB43" s="97"/>
      <c r="AC43" s="97">
        <f>AQ43/AI43</f>
        <v>286.25202020202016</v>
      </c>
      <c r="AD43" s="97"/>
      <c r="AE43" s="97"/>
      <c r="AF43" s="14">
        <f>AJ43</f>
        <v>0</v>
      </c>
      <c r="AG43" s="37"/>
      <c r="AH43" s="37"/>
      <c r="AI43" s="13">
        <v>19.8</v>
      </c>
      <c r="AJ43" s="127"/>
      <c r="AK43" s="13"/>
      <c r="AL43" s="37"/>
      <c r="AM43" s="15">
        <f>SUM(AN43:AR43)</f>
        <v>5667.79</v>
      </c>
      <c r="AN43" s="13"/>
      <c r="AO43" s="13"/>
      <c r="AP43" s="13"/>
      <c r="AQ43" s="13">
        <v>5667.79</v>
      </c>
      <c r="AR43" s="13"/>
      <c r="AS43" s="37"/>
      <c r="AT43" s="15">
        <f>SUM(AU43:AY43)</f>
        <v>0</v>
      </c>
      <c r="AU43" s="37"/>
      <c r="AV43" s="37"/>
      <c r="AW43" s="37"/>
      <c r="AX43" s="37"/>
      <c r="AY43" s="37"/>
      <c r="AZ43" s="13"/>
    </row>
    <row r="44" spans="1:52" ht="43.5" customHeight="1">
      <c r="A44" s="66"/>
      <c r="B44" s="39" t="s">
        <v>26</v>
      </c>
      <c r="C44" s="39"/>
      <c r="D44" s="64">
        <f>SUM(E44:I44)</f>
        <v>1242.358</v>
      </c>
      <c r="E44" s="125"/>
      <c r="F44" s="125"/>
      <c r="G44" s="125"/>
      <c r="H44" s="125"/>
      <c r="I44" s="128">
        <v>1242.358</v>
      </c>
      <c r="J44" s="13"/>
      <c r="K44" s="126">
        <f t="shared" si="18"/>
        <v>18.00000482952579</v>
      </c>
      <c r="L44" s="13"/>
      <c r="M44" s="13"/>
      <c r="N44" s="13"/>
      <c r="O44" s="13"/>
      <c r="P44" s="13">
        <v>18</v>
      </c>
      <c r="Q44" s="13"/>
      <c r="R44" s="14">
        <f>SUM(S44:W44)</f>
        <v>22362.45</v>
      </c>
      <c r="S44" s="13"/>
      <c r="T44" s="13"/>
      <c r="U44" s="13"/>
      <c r="V44" s="13"/>
      <c r="W44" s="13">
        <v>22362.45</v>
      </c>
      <c r="X44" s="13"/>
      <c r="Y44" s="64">
        <f>SUM(Z44:AD44)</f>
        <v>1242.3583333333333</v>
      </c>
      <c r="Z44" s="65"/>
      <c r="AA44" s="65"/>
      <c r="AB44" s="65"/>
      <c r="AC44" s="65"/>
      <c r="AD44" s="65">
        <f>AR44/AK44</f>
        <v>1242.3583333333333</v>
      </c>
      <c r="AE44" s="65"/>
      <c r="AF44" s="14">
        <f>AK44</f>
        <v>18</v>
      </c>
      <c r="AG44" s="13"/>
      <c r="AH44" s="13"/>
      <c r="AI44" s="13"/>
      <c r="AJ44" s="13"/>
      <c r="AK44" s="13">
        <v>18</v>
      </c>
      <c r="AL44" s="13"/>
      <c r="AM44" s="14">
        <f>SUM(AN44:AR44)</f>
        <v>22362.45</v>
      </c>
      <c r="AN44" s="13"/>
      <c r="AO44" s="13"/>
      <c r="AP44" s="13"/>
      <c r="AQ44" s="13"/>
      <c r="AR44" s="13">
        <f>8463.87+13898.58</f>
        <v>22362.45</v>
      </c>
      <c r="AS44" s="13"/>
      <c r="AT44" s="14">
        <f>SUM(AU44:AY44)</f>
        <v>0</v>
      </c>
      <c r="AU44" s="37"/>
      <c r="AV44" s="37"/>
      <c r="AW44" s="37"/>
      <c r="AX44" s="37"/>
      <c r="AY44" s="37">
        <f>(P44-AK44)*I44</f>
        <v>0</v>
      </c>
      <c r="AZ44" s="13"/>
    </row>
    <row r="45" spans="1:52" ht="81.75" customHeight="1">
      <c r="A45" s="9"/>
      <c r="B45" s="43" t="s">
        <v>27</v>
      </c>
      <c r="C45" s="10"/>
      <c r="D45" s="15">
        <f t="shared" si="27"/>
        <v>9016.19</v>
      </c>
      <c r="E45" s="97">
        <v>4944.06</v>
      </c>
      <c r="F45" s="97">
        <v>4072.13</v>
      </c>
      <c r="G45" s="37"/>
      <c r="H45" s="37"/>
      <c r="I45" s="37"/>
      <c r="J45" s="37"/>
      <c r="K45" s="15">
        <f t="shared" si="18"/>
        <v>18.73923797080585</v>
      </c>
      <c r="L45" s="37">
        <v>17.7</v>
      </c>
      <c r="M45" s="37">
        <v>20</v>
      </c>
      <c r="N45" s="37"/>
      <c r="O45" s="37"/>
      <c r="P45" s="37"/>
      <c r="Q45" s="37"/>
      <c r="R45" s="15">
        <f t="shared" si="28"/>
        <v>168956.53</v>
      </c>
      <c r="S45" s="37">
        <v>87509.86</v>
      </c>
      <c r="T45" s="37">
        <v>81446.67</v>
      </c>
      <c r="U45" s="37"/>
      <c r="V45" s="37"/>
      <c r="W45" s="37"/>
      <c r="X45" s="37"/>
      <c r="Y45" s="67">
        <f t="shared" si="29"/>
        <v>9248.575418079097</v>
      </c>
      <c r="Z45" s="97">
        <f>AN45/AG45</f>
        <v>5176.438418079097</v>
      </c>
      <c r="AA45" s="97">
        <f>ROUND(AO45/AH45,3)</f>
        <v>4072.137</v>
      </c>
      <c r="AB45" s="97"/>
      <c r="AC45" s="97"/>
      <c r="AD45" s="97"/>
      <c r="AE45" s="97"/>
      <c r="AF45" s="15">
        <f>AM45/Y45</f>
        <v>18.712687324978884</v>
      </c>
      <c r="AG45" s="37">
        <v>17.7</v>
      </c>
      <c r="AH45" s="37">
        <v>20</v>
      </c>
      <c r="AI45" s="37"/>
      <c r="AJ45" s="37"/>
      <c r="AK45" s="37"/>
      <c r="AL45" s="37"/>
      <c r="AM45" s="15">
        <f>SUM(AN45:AS45)</f>
        <v>173065.7</v>
      </c>
      <c r="AN45" s="37">
        <f>10559.1+81063.86</f>
        <v>91622.96</v>
      </c>
      <c r="AO45" s="37">
        <f>30012.47+51430.27</f>
        <v>81442.73999999999</v>
      </c>
      <c r="AP45" s="37"/>
      <c r="AQ45" s="37"/>
      <c r="AR45" s="37"/>
      <c r="AS45" s="37"/>
      <c r="AT45" s="15">
        <f t="shared" si="31"/>
        <v>0</v>
      </c>
      <c r="AU45" s="37">
        <f>(L45-AG45)*E45</f>
        <v>0</v>
      </c>
      <c r="AV45" s="37">
        <f>(M45-AH45)*F45</f>
        <v>0</v>
      </c>
      <c r="AW45" s="37"/>
      <c r="AX45" s="37"/>
      <c r="AY45" s="37"/>
      <c r="AZ45" s="13"/>
    </row>
    <row r="46" spans="1:52" ht="81.75" customHeight="1" thickBot="1">
      <c r="A46" s="38"/>
      <c r="B46" s="39" t="s">
        <v>28</v>
      </c>
      <c r="C46" s="40"/>
      <c r="D46" s="15">
        <f t="shared" si="27"/>
        <v>17372</v>
      </c>
      <c r="E46" s="13"/>
      <c r="F46" s="65">
        <v>17372</v>
      </c>
      <c r="G46" s="37"/>
      <c r="H46" s="37"/>
      <c r="I46" s="37"/>
      <c r="J46" s="37"/>
      <c r="K46" s="14">
        <f t="shared" si="18"/>
        <v>20.000999884872208</v>
      </c>
      <c r="L46" s="13"/>
      <c r="M46" s="139">
        <v>20</v>
      </c>
      <c r="N46" s="37"/>
      <c r="O46" s="37"/>
      <c r="P46" s="37"/>
      <c r="Q46" s="37"/>
      <c r="R46" s="15">
        <f t="shared" si="28"/>
        <v>347457.37</v>
      </c>
      <c r="S46" s="13"/>
      <c r="T46" s="13">
        <v>347457.37</v>
      </c>
      <c r="U46" s="13"/>
      <c r="V46" s="13"/>
      <c r="W46" s="13"/>
      <c r="X46" s="37"/>
      <c r="Y46" s="67">
        <f>AA46</f>
        <v>17372</v>
      </c>
      <c r="Z46" s="97"/>
      <c r="AA46" s="97">
        <v>17372</v>
      </c>
      <c r="AB46" s="97" t="s">
        <v>34</v>
      </c>
      <c r="AC46" s="97"/>
      <c r="AD46" s="97"/>
      <c r="AE46" s="97"/>
      <c r="AF46" s="14">
        <f>AH46</f>
        <v>20</v>
      </c>
      <c r="AG46" s="37"/>
      <c r="AH46" s="37">
        <v>20</v>
      </c>
      <c r="AI46" s="13"/>
      <c r="AJ46" s="13"/>
      <c r="AK46" s="13"/>
      <c r="AL46" s="37"/>
      <c r="AM46" s="15">
        <f t="shared" si="30"/>
        <v>347431.92000000004</v>
      </c>
      <c r="AN46" s="13"/>
      <c r="AO46" s="13">
        <f>128125.85+219306.07</f>
        <v>347431.92000000004</v>
      </c>
      <c r="AP46" s="13"/>
      <c r="AQ46" s="13"/>
      <c r="AR46" s="13"/>
      <c r="AS46" s="37"/>
      <c r="AT46" s="15">
        <f t="shared" si="31"/>
        <v>0</v>
      </c>
      <c r="AU46" s="37"/>
      <c r="AV46" s="37">
        <f>(M46-AH46)*F46</f>
        <v>0</v>
      </c>
      <c r="AW46" s="37"/>
      <c r="AX46" s="37"/>
      <c r="AY46" s="37"/>
      <c r="AZ46" s="13"/>
    </row>
    <row r="47" spans="1:65" s="91" customFormat="1" ht="27.75" customHeight="1" thickBot="1">
      <c r="A47" s="88"/>
      <c r="B47" s="89" t="s">
        <v>63</v>
      </c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>
        <f aca="true" t="shared" si="32" ref="R47:X47">R37+R27+R19+R7</f>
        <v>24108888.83</v>
      </c>
      <c r="S47" s="90">
        <f t="shared" si="32"/>
        <v>1858988.3200000003</v>
      </c>
      <c r="T47" s="90">
        <f t="shared" si="32"/>
        <v>11197778.7</v>
      </c>
      <c r="U47" s="90">
        <f t="shared" si="32"/>
        <v>4719518.37</v>
      </c>
      <c r="V47" s="90">
        <f t="shared" si="32"/>
        <v>3120961.8000000003</v>
      </c>
      <c r="W47" s="90">
        <f t="shared" si="32"/>
        <v>2688114.38</v>
      </c>
      <c r="X47" s="90">
        <f t="shared" si="32"/>
        <v>523527.26</v>
      </c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>
        <f aca="true" t="shared" si="33" ref="AM47:AZ47">AM37+AM27+AM19+AM7</f>
        <v>23769742.96</v>
      </c>
      <c r="AN47" s="90">
        <f t="shared" si="33"/>
        <v>1874739.83</v>
      </c>
      <c r="AO47" s="90">
        <f t="shared" si="33"/>
        <v>10873868.110000001</v>
      </c>
      <c r="AP47" s="90">
        <f t="shared" si="33"/>
        <v>4722407.75</v>
      </c>
      <c r="AQ47" s="90">
        <f t="shared" si="33"/>
        <v>3127423.59</v>
      </c>
      <c r="AR47" s="90">
        <f t="shared" si="33"/>
        <v>2656193.51</v>
      </c>
      <c r="AS47" s="90">
        <f t="shared" si="33"/>
        <v>515110.17</v>
      </c>
      <c r="AT47" s="90">
        <f t="shared" si="33"/>
        <v>8217.932864999955</v>
      </c>
      <c r="AU47" s="90">
        <f t="shared" si="33"/>
        <v>5.965598999994574</v>
      </c>
      <c r="AV47" s="90">
        <f t="shared" si="33"/>
        <v>0</v>
      </c>
      <c r="AW47" s="90">
        <f t="shared" si="33"/>
        <v>2.615920000001338</v>
      </c>
      <c r="AX47" s="90">
        <f t="shared" si="33"/>
        <v>0</v>
      </c>
      <c r="AY47" s="90">
        <f t="shared" si="33"/>
        <v>8210.467695999958</v>
      </c>
      <c r="AZ47" s="90">
        <f t="shared" si="33"/>
        <v>-1.1163499999989848</v>
      </c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</row>
    <row r="48" spans="5:25" ht="25.5" customHeight="1">
      <c r="E48" s="6"/>
      <c r="Y48" s="6"/>
    </row>
    <row r="49" spans="2:57" ht="55.5" customHeight="1">
      <c r="B49" s="208"/>
      <c r="C49" s="208"/>
      <c r="D49" s="208"/>
      <c r="E49" s="208"/>
      <c r="U49" s="208"/>
      <c r="V49" s="208"/>
      <c r="W49" s="94"/>
      <c r="X49" s="94"/>
      <c r="Y49" s="94"/>
      <c r="Z49" s="94"/>
      <c r="AT49" s="213" t="s">
        <v>19</v>
      </c>
      <c r="AU49" s="213"/>
      <c r="AV49" s="213"/>
      <c r="AW49" s="213"/>
      <c r="AY49" s="214" t="s">
        <v>45</v>
      </c>
      <c r="AZ49" s="214"/>
      <c r="BA49" s="208"/>
      <c r="BB49" s="208"/>
      <c r="BC49" s="208"/>
      <c r="BD49" s="208"/>
      <c r="BE49" s="208"/>
    </row>
    <row r="50" spans="5:26" ht="55.5" customHeight="1">
      <c r="E50" s="6"/>
      <c r="Y50" s="6"/>
      <c r="Z50" s="6"/>
    </row>
    <row r="51" spans="5:54" ht="26.25">
      <c r="E51" s="6"/>
      <c r="Y51" s="6"/>
      <c r="Z51" s="6"/>
      <c r="AT51" s="6"/>
      <c r="AV51" s="93"/>
      <c r="BA51" s="6"/>
      <c r="BB51" s="6"/>
    </row>
    <row r="52" spans="5:26" ht="26.25">
      <c r="E52" s="6"/>
      <c r="Y52" s="6"/>
      <c r="Z52" s="6"/>
    </row>
    <row r="53" spans="5:26" ht="26.25">
      <c r="E53" s="6"/>
      <c r="Y53" s="6"/>
      <c r="Z53" s="6"/>
    </row>
    <row r="54" spans="5:26" ht="26.25">
      <c r="E54" s="6"/>
      <c r="Y54" s="6"/>
      <c r="Z54" s="6"/>
    </row>
    <row r="55" spans="5:26" ht="26.25">
      <c r="E55" s="6"/>
      <c r="Y55" s="6"/>
      <c r="Z55" s="6"/>
    </row>
    <row r="56" spans="5:26" ht="26.25">
      <c r="E56" s="6"/>
      <c r="Y56" s="6"/>
      <c r="Z56" s="6"/>
    </row>
    <row r="57" spans="5:26" ht="26.25">
      <c r="E57" s="6"/>
      <c r="Y57" s="6"/>
      <c r="Z57" s="6"/>
    </row>
    <row r="58" spans="5:26" ht="26.25">
      <c r="E58" s="6"/>
      <c r="Y58" s="6"/>
      <c r="Z58" s="6"/>
    </row>
    <row r="59" spans="5:26" ht="26.25">
      <c r="E59" s="6"/>
      <c r="Y59" s="6"/>
      <c r="Z59" s="6"/>
    </row>
    <row r="60" spans="5:26" ht="26.25">
      <c r="E60" s="6"/>
      <c r="Y60" s="6"/>
      <c r="Z60" s="6"/>
    </row>
    <row r="61" spans="5:26" ht="26.25">
      <c r="E61" s="6"/>
      <c r="Y61" s="6"/>
      <c r="Z61" s="6"/>
    </row>
    <row r="62" spans="5:26" ht="26.25">
      <c r="E62" s="6"/>
      <c r="Y62" s="6"/>
      <c r="Z62" s="6"/>
    </row>
    <row r="63" spans="5:26" ht="26.25">
      <c r="E63" s="6"/>
      <c r="Y63" s="6"/>
      <c r="Z63" s="6"/>
    </row>
    <row r="64" spans="5:26" ht="26.25">
      <c r="E64" s="6"/>
      <c r="Y64" s="6"/>
      <c r="Z64" s="6"/>
    </row>
    <row r="65" spans="5:26" ht="26.25">
      <c r="E65" s="6"/>
      <c r="Y65" s="6"/>
      <c r="Z65" s="6"/>
    </row>
    <row r="66" spans="5:26" ht="26.25">
      <c r="E66" s="6"/>
      <c r="Y66" s="6"/>
      <c r="Z66" s="6"/>
    </row>
    <row r="67" spans="5:26" ht="26.25">
      <c r="E67" s="6"/>
      <c r="Y67" s="6"/>
      <c r="Z67" s="6"/>
    </row>
    <row r="68" spans="5:26" ht="26.25">
      <c r="E68" s="6"/>
      <c r="Y68" s="6"/>
      <c r="Z68" s="6"/>
    </row>
    <row r="69" spans="5:26" ht="26.25">
      <c r="E69" s="6"/>
      <c r="Y69" s="6"/>
      <c r="Z69" s="6"/>
    </row>
    <row r="70" spans="5:26" ht="26.25">
      <c r="E70" s="6"/>
      <c r="Y70" s="6"/>
      <c r="Z70" s="6"/>
    </row>
    <row r="71" spans="5:26" ht="26.25">
      <c r="E71" s="6"/>
      <c r="Y71" s="6"/>
      <c r="Z71" s="6"/>
    </row>
    <row r="72" spans="5:26" ht="26.25">
      <c r="E72" s="6"/>
      <c r="Y72" s="6"/>
      <c r="Z72" s="6"/>
    </row>
    <row r="73" spans="5:26" ht="26.25">
      <c r="E73" s="6"/>
      <c r="Y73" s="6"/>
      <c r="Z73" s="6"/>
    </row>
    <row r="74" spans="5:26" ht="26.25">
      <c r="E74" s="6"/>
      <c r="Y74" s="6"/>
      <c r="Z74" s="6"/>
    </row>
    <row r="75" spans="5:26" ht="26.25">
      <c r="E75" s="6"/>
      <c r="Y75" s="6"/>
      <c r="Z75" s="6"/>
    </row>
    <row r="76" spans="5:26" ht="26.25">
      <c r="E76" s="6"/>
      <c r="Y76" s="6"/>
      <c r="Z76" s="6"/>
    </row>
    <row r="77" spans="5:26" ht="26.25">
      <c r="E77" s="6"/>
      <c r="Y77" s="6"/>
      <c r="Z77" s="6"/>
    </row>
    <row r="78" spans="5:26" ht="26.25">
      <c r="E78" s="6"/>
      <c r="Y78" s="6"/>
      <c r="Z78" s="6"/>
    </row>
    <row r="79" spans="5:26" ht="26.25">
      <c r="E79" s="6"/>
      <c r="Y79" s="6"/>
      <c r="Z79" s="6"/>
    </row>
    <row r="80" spans="5:26" ht="26.25">
      <c r="E80" s="6"/>
      <c r="Y80" s="6"/>
      <c r="Z80" s="6"/>
    </row>
    <row r="81" spans="5:26" ht="26.25">
      <c r="E81" s="6"/>
      <c r="Y81" s="6"/>
      <c r="Z81" s="6"/>
    </row>
    <row r="82" spans="5:26" ht="26.25">
      <c r="E82" s="6"/>
      <c r="Y82" s="6"/>
      <c r="Z82" s="6"/>
    </row>
    <row r="83" spans="5:26" ht="26.25">
      <c r="E83" s="6"/>
      <c r="Y83" s="6"/>
      <c r="Z83" s="6"/>
    </row>
    <row r="84" spans="5:26" ht="26.25">
      <c r="E84" s="6"/>
      <c r="Y84" s="6"/>
      <c r="Z84" s="6"/>
    </row>
    <row r="85" spans="5:26" ht="26.25">
      <c r="E85" s="6"/>
      <c r="Y85" s="6"/>
      <c r="Z85" s="6"/>
    </row>
    <row r="86" spans="5:26" ht="26.25">
      <c r="E86" s="6"/>
      <c r="Y86" s="6"/>
      <c r="Z86" s="6"/>
    </row>
    <row r="87" spans="5:26" ht="26.25">
      <c r="E87" s="6"/>
      <c r="Y87" s="6"/>
      <c r="Z87" s="6"/>
    </row>
    <row r="88" spans="5:26" ht="26.25">
      <c r="E88" s="6"/>
      <c r="Y88" s="6"/>
      <c r="Z88" s="6"/>
    </row>
    <row r="89" spans="5:26" ht="26.25">
      <c r="E89" s="6"/>
      <c r="Y89" s="6"/>
      <c r="Z89" s="6"/>
    </row>
    <row r="90" spans="5:26" ht="26.25">
      <c r="E90" s="6"/>
      <c r="Y90" s="6"/>
      <c r="Z90" s="6"/>
    </row>
    <row r="91" spans="25:26" ht="26.25">
      <c r="Y91" s="6"/>
      <c r="Z91" s="6"/>
    </row>
    <row r="92" spans="25:26" ht="26.25">
      <c r="Y92" s="6"/>
      <c r="Z92" s="6"/>
    </row>
    <row r="93" spans="25:26" ht="26.25">
      <c r="Y93" s="6"/>
      <c r="Z93" s="6"/>
    </row>
    <row r="94" spans="25:26" ht="26.25">
      <c r="Y94" s="6"/>
      <c r="Z94" s="6"/>
    </row>
    <row r="95" spans="25:26" ht="26.25">
      <c r="Y95" s="6"/>
      <c r="Z95" s="6"/>
    </row>
    <row r="96" spans="25:26" ht="26.25">
      <c r="Y96" s="6"/>
      <c r="Z96" s="6"/>
    </row>
    <row r="97" spans="25:26" ht="26.25">
      <c r="Y97" s="6"/>
      <c r="Z97" s="6"/>
    </row>
    <row r="98" spans="25:26" ht="26.25">
      <c r="Y98" s="6"/>
      <c r="Z98" s="6"/>
    </row>
    <row r="99" spans="25:26" ht="26.25">
      <c r="Y99" s="6"/>
      <c r="Z99" s="6"/>
    </row>
    <row r="100" spans="25:26" ht="26.25">
      <c r="Y100" s="6"/>
      <c r="Z100" s="6"/>
    </row>
    <row r="101" spans="25:26" ht="26.25">
      <c r="Y101" s="6"/>
      <c r="Z101" s="6"/>
    </row>
    <row r="102" spans="25:26" ht="26.25">
      <c r="Y102" s="6"/>
      <c r="Z102" s="6"/>
    </row>
    <row r="103" spans="25:26" ht="26.25">
      <c r="Y103" s="6"/>
      <c r="Z103" s="6"/>
    </row>
    <row r="104" spans="25:26" ht="26.25">
      <c r="Y104" s="6"/>
      <c r="Z104" s="6"/>
    </row>
    <row r="105" spans="25:26" ht="26.25">
      <c r="Y105" s="6"/>
      <c r="Z105" s="6"/>
    </row>
    <row r="106" spans="25:26" ht="26.25">
      <c r="Y106" s="6"/>
      <c r="Z106" s="6"/>
    </row>
    <row r="107" spans="25:26" ht="26.25">
      <c r="Y107" s="6"/>
      <c r="Z107" s="6"/>
    </row>
    <row r="108" spans="25:26" ht="26.25">
      <c r="Y108" s="6"/>
      <c r="Z108" s="6"/>
    </row>
    <row r="109" spans="25:26" ht="26.25">
      <c r="Y109" s="6"/>
      <c r="Z109" s="6"/>
    </row>
    <row r="110" spans="25:26" ht="26.25">
      <c r="Y110" s="6"/>
      <c r="Z110" s="6"/>
    </row>
    <row r="111" spans="25:26" ht="26.25">
      <c r="Y111" s="6"/>
      <c r="Z111" s="6"/>
    </row>
    <row r="112" spans="25:26" ht="26.25">
      <c r="Y112" s="6"/>
      <c r="Z112" s="6"/>
    </row>
    <row r="113" spans="25:26" ht="26.25">
      <c r="Y113" s="6"/>
      <c r="Z113" s="6"/>
    </row>
    <row r="114" spans="25:26" ht="26.25">
      <c r="Y114" s="6"/>
      <c r="Z114" s="6"/>
    </row>
    <row r="115" spans="25:26" ht="26.25">
      <c r="Y115" s="6"/>
      <c r="Z115" s="6"/>
    </row>
    <row r="116" spans="25:26" ht="26.25">
      <c r="Y116" s="6"/>
      <c r="Z116" s="6"/>
    </row>
    <row r="117" spans="25:26" ht="26.25">
      <c r="Y117" s="6"/>
      <c r="Z117" s="6"/>
    </row>
    <row r="118" spans="25:26" ht="26.25">
      <c r="Y118" s="6"/>
      <c r="Z118" s="6"/>
    </row>
    <row r="119" spans="25:26" ht="26.25">
      <c r="Y119" s="6"/>
      <c r="Z119" s="6"/>
    </row>
    <row r="120" spans="25:26" ht="26.25">
      <c r="Y120" s="6"/>
      <c r="Z120" s="6"/>
    </row>
    <row r="121" spans="25:26" ht="26.25">
      <c r="Y121" s="6"/>
      <c r="Z121" s="6"/>
    </row>
    <row r="122" spans="25:26" ht="26.25">
      <c r="Y122" s="6"/>
      <c r="Z122" s="6"/>
    </row>
    <row r="123" spans="25:26" ht="26.25">
      <c r="Y123" s="6"/>
      <c r="Z123" s="6"/>
    </row>
    <row r="124" spans="25:26" ht="26.25">
      <c r="Y124" s="6"/>
      <c r="Z124" s="6"/>
    </row>
    <row r="125" spans="25:26" ht="26.25">
      <c r="Y125" s="6"/>
      <c r="Z125" s="6"/>
    </row>
    <row r="126" spans="25:26" ht="26.25">
      <c r="Y126" s="6"/>
      <c r="Z126" s="6"/>
    </row>
    <row r="127" spans="25:26" ht="26.25">
      <c r="Y127" s="6"/>
      <c r="Z127" s="6"/>
    </row>
    <row r="128" spans="25:26" ht="26.25">
      <c r="Y128" s="6"/>
      <c r="Z128" s="6"/>
    </row>
    <row r="129" spans="25:26" ht="26.25">
      <c r="Y129" s="6"/>
      <c r="Z129" s="6"/>
    </row>
    <row r="130" spans="25:26" ht="26.25">
      <c r="Y130" s="6"/>
      <c r="Z130" s="6"/>
    </row>
    <row r="131" spans="25:26" ht="26.25">
      <c r="Y131" s="6"/>
      <c r="Z131" s="6"/>
    </row>
    <row r="132" spans="25:26" ht="26.25">
      <c r="Y132" s="6"/>
      <c r="Z132" s="6"/>
    </row>
    <row r="133" spans="25:26" ht="26.25">
      <c r="Y133" s="6"/>
      <c r="Z133" s="6"/>
    </row>
    <row r="134" spans="25:26" ht="26.25">
      <c r="Y134" s="6"/>
      <c r="Z134" s="6"/>
    </row>
    <row r="135" spans="25:26" ht="26.25">
      <c r="Y135" s="6"/>
      <c r="Z135" s="6"/>
    </row>
    <row r="136" spans="25:26" ht="26.25">
      <c r="Y136" s="6"/>
      <c r="Z136" s="6"/>
    </row>
    <row r="137" spans="25:26" ht="26.25">
      <c r="Y137" s="6"/>
      <c r="Z137" s="6"/>
    </row>
    <row r="138" spans="25:26" ht="26.25">
      <c r="Y138" s="6"/>
      <c r="Z138" s="6"/>
    </row>
    <row r="139" spans="25:26" ht="26.25">
      <c r="Y139" s="6"/>
      <c r="Z139" s="6"/>
    </row>
    <row r="140" spans="25:26" ht="26.25">
      <c r="Y140" s="6"/>
      <c r="Z140" s="6"/>
    </row>
    <row r="141" spans="25:26" ht="26.25">
      <c r="Y141" s="6"/>
      <c r="Z141" s="6"/>
    </row>
    <row r="142" spans="25:26" ht="26.25">
      <c r="Y142" s="6"/>
      <c r="Z142" s="6"/>
    </row>
    <row r="143" spans="25:26" ht="26.25">
      <c r="Y143" s="6"/>
      <c r="Z143" s="6"/>
    </row>
    <row r="144" spans="25:26" ht="26.25">
      <c r="Y144" s="6"/>
      <c r="Z144" s="6"/>
    </row>
    <row r="145" spans="25:26" ht="26.25">
      <c r="Y145" s="6"/>
      <c r="Z145" s="6"/>
    </row>
    <row r="146" spans="25:26" ht="26.25">
      <c r="Y146" s="6"/>
      <c r="Z146" s="6"/>
    </row>
    <row r="147" spans="25:26" ht="26.25">
      <c r="Y147" s="6"/>
      <c r="Z147" s="6"/>
    </row>
    <row r="148" spans="25:26" ht="26.25">
      <c r="Y148" s="6"/>
      <c r="Z148" s="6"/>
    </row>
    <row r="149" spans="25:26" ht="26.25">
      <c r="Y149" s="6"/>
      <c r="Z149" s="6"/>
    </row>
    <row r="150" spans="25:26" ht="26.25">
      <c r="Y150" s="6"/>
      <c r="Z150" s="6"/>
    </row>
    <row r="151" spans="25:26" ht="26.25">
      <c r="Y151" s="6"/>
      <c r="Z151" s="6"/>
    </row>
    <row r="152" spans="25:26" ht="26.25">
      <c r="Y152" s="6"/>
      <c r="Z152" s="6"/>
    </row>
    <row r="153" spans="25:26" ht="26.25">
      <c r="Y153" s="6"/>
      <c r="Z153" s="6"/>
    </row>
    <row r="154" spans="25:26" ht="26.25">
      <c r="Y154" s="6"/>
      <c r="Z154" s="6"/>
    </row>
    <row r="155" spans="25:26" ht="26.25">
      <c r="Y155" s="6"/>
      <c r="Z155" s="6"/>
    </row>
    <row r="156" spans="25:26" ht="26.25">
      <c r="Y156" s="6"/>
      <c r="Z156" s="6"/>
    </row>
    <row r="157" spans="25:26" ht="26.25">
      <c r="Y157" s="6"/>
      <c r="Z157" s="6"/>
    </row>
    <row r="158" spans="25:26" ht="26.25">
      <c r="Y158" s="6"/>
      <c r="Z158" s="6"/>
    </row>
    <row r="159" spans="25:26" ht="26.25">
      <c r="Y159" s="6"/>
      <c r="Z159" s="6"/>
    </row>
    <row r="160" spans="25:26" ht="26.25">
      <c r="Y160" s="6"/>
      <c r="Z160" s="6"/>
    </row>
    <row r="161" spans="25:26" ht="26.25">
      <c r="Y161" s="6"/>
      <c r="Z161" s="6"/>
    </row>
    <row r="162" spans="25:26" ht="26.25">
      <c r="Y162" s="6"/>
      <c r="Z162" s="6"/>
    </row>
    <row r="163" spans="25:26" ht="26.25">
      <c r="Y163" s="6"/>
      <c r="Z163" s="6"/>
    </row>
    <row r="164" spans="25:26" ht="26.25">
      <c r="Y164" s="6"/>
      <c r="Z164" s="6"/>
    </row>
    <row r="165" spans="25:26" ht="26.25">
      <c r="Y165" s="6"/>
      <c r="Z165" s="6"/>
    </row>
    <row r="166" spans="25:26" ht="26.25">
      <c r="Y166" s="6"/>
      <c r="Z166" s="6"/>
    </row>
    <row r="167" spans="25:26" ht="26.25">
      <c r="Y167" s="6"/>
      <c r="Z167" s="6"/>
    </row>
    <row r="168" spans="25:26" ht="26.25">
      <c r="Y168" s="6"/>
      <c r="Z168" s="6"/>
    </row>
    <row r="169" spans="25:26" ht="26.25">
      <c r="Y169" s="6"/>
      <c r="Z169" s="6"/>
    </row>
    <row r="170" spans="25:26" ht="26.25">
      <c r="Y170" s="6"/>
      <c r="Z170" s="6"/>
    </row>
    <row r="171" spans="25:26" ht="26.25">
      <c r="Y171" s="6"/>
      <c r="Z171" s="6"/>
    </row>
    <row r="172" spans="25:26" ht="26.25">
      <c r="Y172" s="6"/>
      <c r="Z172" s="6"/>
    </row>
    <row r="173" spans="25:26" ht="26.25">
      <c r="Y173" s="6"/>
      <c r="Z173" s="6"/>
    </row>
    <row r="174" spans="25:26" ht="26.25">
      <c r="Y174" s="6"/>
      <c r="Z174" s="6"/>
    </row>
    <row r="175" spans="25:26" ht="26.25">
      <c r="Y175" s="6"/>
      <c r="Z175" s="6"/>
    </row>
    <row r="176" spans="25:26" ht="26.25">
      <c r="Y176" s="6"/>
      <c r="Z176" s="6"/>
    </row>
    <row r="177" spans="25:26" ht="26.25">
      <c r="Y177" s="6"/>
      <c r="Z177" s="6"/>
    </row>
    <row r="178" spans="25:26" ht="26.25">
      <c r="Y178" s="6"/>
      <c r="Z178" s="6"/>
    </row>
    <row r="179" spans="25:26" ht="26.25">
      <c r="Y179" s="6"/>
      <c r="Z179" s="6"/>
    </row>
    <row r="180" spans="25:26" ht="26.25">
      <c r="Y180" s="6"/>
      <c r="Z180" s="6"/>
    </row>
    <row r="181" spans="25:26" ht="26.25">
      <c r="Y181" s="6"/>
      <c r="Z181" s="6"/>
    </row>
    <row r="182" spans="25:26" ht="26.25">
      <c r="Y182" s="6"/>
      <c r="Z182" s="6"/>
    </row>
    <row r="183" spans="25:26" ht="26.25">
      <c r="Y183" s="6"/>
      <c r="Z183" s="6"/>
    </row>
    <row r="184" spans="25:26" ht="26.25">
      <c r="Y184" s="6"/>
      <c r="Z184" s="6"/>
    </row>
    <row r="185" spans="25:26" ht="26.25">
      <c r="Y185" s="6"/>
      <c r="Z185" s="6"/>
    </row>
    <row r="186" spans="25:26" ht="26.25">
      <c r="Y186" s="6"/>
      <c r="Z186" s="6"/>
    </row>
    <row r="187" spans="25:26" ht="26.25">
      <c r="Y187" s="6"/>
      <c r="Z187" s="6"/>
    </row>
    <row r="188" spans="25:26" ht="26.25">
      <c r="Y188" s="6"/>
      <c r="Z188" s="6"/>
    </row>
    <row r="189" spans="25:26" ht="26.25">
      <c r="Y189" s="6"/>
      <c r="Z189" s="6"/>
    </row>
    <row r="190" spans="25:26" ht="26.25">
      <c r="Y190" s="6"/>
      <c r="Z190" s="6"/>
    </row>
    <row r="191" spans="25:26" ht="26.25">
      <c r="Y191" s="6"/>
      <c r="Z191" s="6"/>
    </row>
    <row r="192" spans="25:26" ht="26.25">
      <c r="Y192" s="6"/>
      <c r="Z192" s="6"/>
    </row>
    <row r="193" spans="25:26" ht="26.25">
      <c r="Y193" s="6"/>
      <c r="Z193" s="6"/>
    </row>
    <row r="194" spans="25:26" ht="26.25">
      <c r="Y194" s="6"/>
      <c r="Z194" s="6"/>
    </row>
    <row r="195" spans="25:26" ht="26.25">
      <c r="Y195" s="6"/>
      <c r="Z195" s="6"/>
    </row>
    <row r="196" spans="25:26" ht="26.25">
      <c r="Y196" s="6"/>
      <c r="Z196" s="6"/>
    </row>
    <row r="197" spans="25:26" ht="26.25">
      <c r="Y197" s="6"/>
      <c r="Z197" s="6"/>
    </row>
    <row r="198" spans="25:26" ht="26.25">
      <c r="Y198" s="6"/>
      <c r="Z198" s="6"/>
    </row>
    <row r="199" spans="25:26" ht="26.25">
      <c r="Y199" s="6"/>
      <c r="Z199" s="6"/>
    </row>
    <row r="200" spans="25:26" ht="26.25">
      <c r="Y200" s="6"/>
      <c r="Z200" s="6"/>
    </row>
    <row r="201" spans="25:26" ht="26.25">
      <c r="Y201" s="6"/>
      <c r="Z201" s="6"/>
    </row>
    <row r="202" spans="25:26" ht="26.25">
      <c r="Y202" s="6"/>
      <c r="Z202" s="6"/>
    </row>
    <row r="203" spans="25:26" ht="26.25">
      <c r="Y203" s="6"/>
      <c r="Z203" s="6"/>
    </row>
    <row r="204" spans="25:26" ht="26.25">
      <c r="Y204" s="6"/>
      <c r="Z204" s="6"/>
    </row>
    <row r="205" spans="25:26" ht="26.25">
      <c r="Y205" s="6"/>
      <c r="Z205" s="6"/>
    </row>
    <row r="206" spans="25:26" ht="26.25">
      <c r="Y206" s="6"/>
      <c r="Z206" s="6"/>
    </row>
    <row r="207" spans="25:26" ht="26.25">
      <c r="Y207" s="6"/>
      <c r="Z207" s="6"/>
    </row>
    <row r="208" spans="25:26" ht="26.25">
      <c r="Y208" s="6"/>
      <c r="Z208" s="6"/>
    </row>
    <row r="209" spans="25:26" ht="26.25">
      <c r="Y209" s="6"/>
      <c r="Z209" s="6"/>
    </row>
    <row r="210" spans="25:26" ht="26.25">
      <c r="Y210" s="6"/>
      <c r="Z210" s="6"/>
    </row>
    <row r="211" spans="25:26" ht="26.25">
      <c r="Y211" s="6"/>
      <c r="Z211" s="6"/>
    </row>
    <row r="212" spans="25:26" ht="26.25">
      <c r="Y212" s="6"/>
      <c r="Z212" s="6"/>
    </row>
    <row r="213" spans="25:26" ht="26.25">
      <c r="Y213" s="6"/>
      <c r="Z213" s="6"/>
    </row>
    <row r="214" spans="25:26" ht="26.25">
      <c r="Y214" s="6"/>
      <c r="Z214" s="6"/>
    </row>
    <row r="215" spans="25:26" ht="26.25">
      <c r="Y215" s="6"/>
      <c r="Z215" s="6"/>
    </row>
    <row r="216" spans="25:26" ht="26.25">
      <c r="Y216" s="6"/>
      <c r="Z216" s="6"/>
    </row>
    <row r="217" spans="25:26" ht="26.25">
      <c r="Y217" s="6"/>
      <c r="Z217" s="6"/>
    </row>
    <row r="218" spans="25:26" ht="26.25">
      <c r="Y218" s="6"/>
      <c r="Z218" s="6"/>
    </row>
    <row r="219" spans="25:26" ht="26.25">
      <c r="Y219" s="6"/>
      <c r="Z219" s="6"/>
    </row>
    <row r="220" spans="25:26" ht="26.25">
      <c r="Y220" s="6"/>
      <c r="Z220" s="6"/>
    </row>
    <row r="221" spans="25:26" ht="26.25">
      <c r="Y221" s="6"/>
      <c r="Z221" s="6"/>
    </row>
    <row r="222" spans="25:26" ht="26.25">
      <c r="Y222" s="6"/>
      <c r="Z222" s="6"/>
    </row>
    <row r="223" spans="25:26" ht="26.25">
      <c r="Y223" s="6"/>
      <c r="Z223" s="6"/>
    </row>
    <row r="224" spans="25:26" ht="26.25">
      <c r="Y224" s="6"/>
      <c r="Z224" s="6"/>
    </row>
    <row r="225" spans="25:26" ht="26.25">
      <c r="Y225" s="6"/>
      <c r="Z225" s="6"/>
    </row>
    <row r="226" spans="25:26" ht="26.25">
      <c r="Y226" s="6"/>
      <c r="Z226" s="6"/>
    </row>
    <row r="227" spans="25:26" ht="26.25">
      <c r="Y227" s="6"/>
      <c r="Z227" s="6"/>
    </row>
    <row r="228" spans="25:26" ht="26.25">
      <c r="Y228" s="6"/>
      <c r="Z228" s="6"/>
    </row>
    <row r="229" spans="25:26" ht="26.25">
      <c r="Y229" s="6"/>
      <c r="Z229" s="6"/>
    </row>
    <row r="230" spans="25:26" ht="26.25">
      <c r="Y230" s="6"/>
      <c r="Z230" s="6"/>
    </row>
    <row r="231" spans="25:26" ht="26.25">
      <c r="Y231" s="6"/>
      <c r="Z231" s="6"/>
    </row>
    <row r="232" spans="25:26" ht="26.25">
      <c r="Y232" s="6"/>
      <c r="Z232" s="6"/>
    </row>
    <row r="233" spans="25:26" ht="26.25">
      <c r="Y233" s="6"/>
      <c r="Z233" s="6"/>
    </row>
    <row r="234" spans="25:26" ht="26.25">
      <c r="Y234" s="6"/>
      <c r="Z234" s="6"/>
    </row>
    <row r="235" spans="25:26" ht="26.25">
      <c r="Y235" s="6"/>
      <c r="Z235" s="6"/>
    </row>
    <row r="236" spans="25:26" ht="26.25">
      <c r="Y236" s="6"/>
      <c r="Z236" s="6"/>
    </row>
    <row r="237" spans="25:26" ht="26.25">
      <c r="Y237" s="6"/>
      <c r="Z237" s="6"/>
    </row>
    <row r="238" spans="25:26" ht="26.25">
      <c r="Y238" s="6"/>
      <c r="Z238" s="6"/>
    </row>
    <row r="239" spans="25:26" ht="26.25">
      <c r="Y239" s="6"/>
      <c r="Z239" s="6"/>
    </row>
    <row r="240" spans="25:26" ht="26.25">
      <c r="Y240" s="6"/>
      <c r="Z240" s="6"/>
    </row>
    <row r="241" spans="25:26" ht="26.25">
      <c r="Y241" s="6"/>
      <c r="Z241" s="6"/>
    </row>
    <row r="242" spans="25:26" ht="26.25">
      <c r="Y242" s="6"/>
      <c r="Z242" s="6"/>
    </row>
    <row r="243" spans="25:26" ht="26.25">
      <c r="Y243" s="6"/>
      <c r="Z243" s="6"/>
    </row>
    <row r="244" spans="25:26" ht="26.25">
      <c r="Y244" s="6"/>
      <c r="Z244" s="6"/>
    </row>
    <row r="245" spans="25:26" ht="26.25">
      <c r="Y245" s="6"/>
      <c r="Z245" s="6"/>
    </row>
    <row r="246" spans="25:26" ht="26.25">
      <c r="Y246" s="6"/>
      <c r="Z246" s="6"/>
    </row>
    <row r="247" spans="25:26" ht="26.25">
      <c r="Y247" s="6"/>
      <c r="Z247" s="6"/>
    </row>
    <row r="248" spans="25:26" ht="26.25">
      <c r="Y248" s="6"/>
      <c r="Z248" s="6"/>
    </row>
    <row r="249" spans="25:26" ht="26.25">
      <c r="Y249" s="6"/>
      <c r="Z249" s="6"/>
    </row>
    <row r="250" spans="25:26" ht="26.25">
      <c r="Y250" s="6"/>
      <c r="Z250" s="6"/>
    </row>
    <row r="251" spans="25:26" ht="26.25">
      <c r="Y251" s="6"/>
      <c r="Z251" s="6"/>
    </row>
    <row r="252" spans="25:26" ht="26.25">
      <c r="Y252" s="6"/>
      <c r="Z252" s="6"/>
    </row>
    <row r="253" spans="25:26" ht="26.25">
      <c r="Y253" s="6"/>
      <c r="Z253" s="6"/>
    </row>
    <row r="254" spans="25:26" ht="26.25">
      <c r="Y254" s="6"/>
      <c r="Z254" s="6"/>
    </row>
    <row r="255" spans="25:26" ht="26.25">
      <c r="Y255" s="6"/>
      <c r="Z255" s="6"/>
    </row>
    <row r="256" spans="25:26" ht="26.25">
      <c r="Y256" s="6"/>
      <c r="Z256" s="6"/>
    </row>
    <row r="257" spans="25:26" ht="26.25">
      <c r="Y257" s="6"/>
      <c r="Z257" s="6"/>
    </row>
    <row r="258" spans="25:26" ht="26.25">
      <c r="Y258" s="6"/>
      <c r="Z258" s="6"/>
    </row>
    <row r="259" spans="25:26" ht="26.25">
      <c r="Y259" s="6"/>
      <c r="Z259" s="6"/>
    </row>
    <row r="260" spans="25:26" ht="26.25">
      <c r="Y260" s="6"/>
      <c r="Z260" s="6"/>
    </row>
    <row r="261" spans="25:26" ht="26.25">
      <c r="Y261" s="6"/>
      <c r="Z261" s="6"/>
    </row>
    <row r="262" spans="25:26" ht="26.25">
      <c r="Y262" s="6"/>
      <c r="Z262" s="6"/>
    </row>
    <row r="263" spans="25:26" ht="26.25">
      <c r="Y263" s="6"/>
      <c r="Z263" s="6"/>
    </row>
    <row r="264" spans="25:26" ht="26.25">
      <c r="Y264" s="6"/>
      <c r="Z264" s="6"/>
    </row>
    <row r="265" spans="25:26" ht="26.25">
      <c r="Y265" s="6"/>
      <c r="Z265" s="6"/>
    </row>
    <row r="266" spans="25:26" ht="26.25">
      <c r="Y266" s="6"/>
      <c r="Z266" s="6"/>
    </row>
    <row r="267" spans="25:26" ht="26.25">
      <c r="Y267" s="6"/>
      <c r="Z267" s="6"/>
    </row>
    <row r="268" spans="25:26" ht="26.25">
      <c r="Y268" s="6"/>
      <c r="Z268" s="6"/>
    </row>
    <row r="269" spans="25:26" ht="26.25">
      <c r="Y269" s="6"/>
      <c r="Z269" s="6"/>
    </row>
    <row r="270" spans="25:26" ht="26.25">
      <c r="Y270" s="6"/>
      <c r="Z270" s="6"/>
    </row>
    <row r="271" spans="25:26" ht="26.25">
      <c r="Y271" s="6"/>
      <c r="Z271" s="6"/>
    </row>
    <row r="272" spans="25:26" ht="26.25">
      <c r="Y272" s="6"/>
      <c r="Z272" s="6"/>
    </row>
    <row r="273" spans="25:26" ht="26.25">
      <c r="Y273" s="6"/>
      <c r="Z273" s="6"/>
    </row>
    <row r="274" spans="25:26" ht="26.25">
      <c r="Y274" s="6"/>
      <c r="Z274" s="6"/>
    </row>
    <row r="275" spans="25:26" ht="26.25">
      <c r="Y275" s="6"/>
      <c r="Z275" s="6"/>
    </row>
    <row r="276" spans="25:26" ht="26.25">
      <c r="Y276" s="6"/>
      <c r="Z276" s="6"/>
    </row>
    <row r="277" spans="25:26" ht="26.25">
      <c r="Y277" s="6"/>
      <c r="Z277" s="6"/>
    </row>
    <row r="278" spans="25:26" ht="26.25">
      <c r="Y278" s="6"/>
      <c r="Z278" s="6"/>
    </row>
    <row r="279" spans="25:26" ht="26.25">
      <c r="Y279" s="6"/>
      <c r="Z279" s="6"/>
    </row>
    <row r="280" spans="25:26" ht="26.25">
      <c r="Y280" s="6"/>
      <c r="Z280" s="6"/>
    </row>
    <row r="281" spans="25:26" ht="26.25">
      <c r="Y281" s="6"/>
      <c r="Z281" s="6"/>
    </row>
    <row r="282" spans="25:26" ht="26.25">
      <c r="Y282" s="6"/>
      <c r="Z282" s="6"/>
    </row>
    <row r="283" spans="25:26" ht="26.25">
      <c r="Y283" s="6"/>
      <c r="Z283" s="6"/>
    </row>
    <row r="284" spans="25:26" ht="26.25">
      <c r="Y284" s="6"/>
      <c r="Z284" s="6"/>
    </row>
    <row r="285" spans="25:26" ht="26.25">
      <c r="Y285" s="6"/>
      <c r="Z285" s="6"/>
    </row>
    <row r="286" spans="25:26" ht="26.25">
      <c r="Y286" s="6"/>
      <c r="Z286" s="6"/>
    </row>
    <row r="287" spans="25:26" ht="26.25">
      <c r="Y287" s="6"/>
      <c r="Z287" s="6"/>
    </row>
    <row r="288" spans="25:26" ht="26.25">
      <c r="Y288" s="6"/>
      <c r="Z288" s="6"/>
    </row>
    <row r="289" spans="25:26" ht="26.25">
      <c r="Y289" s="6"/>
      <c r="Z289" s="6"/>
    </row>
    <row r="290" spans="25:26" ht="26.25">
      <c r="Y290" s="6"/>
      <c r="Z290" s="6"/>
    </row>
    <row r="291" spans="25:26" ht="26.25">
      <c r="Y291" s="6"/>
      <c r="Z291" s="6"/>
    </row>
    <row r="292" spans="25:26" ht="26.25">
      <c r="Y292" s="6"/>
      <c r="Z292" s="6"/>
    </row>
    <row r="293" spans="25:26" ht="26.25">
      <c r="Y293" s="6"/>
      <c r="Z293" s="6"/>
    </row>
    <row r="294" spans="25:26" ht="26.25">
      <c r="Y294" s="6"/>
      <c r="Z294" s="6"/>
    </row>
    <row r="295" spans="25:26" ht="26.25">
      <c r="Y295" s="6"/>
      <c r="Z295" s="6"/>
    </row>
    <row r="296" spans="25:26" ht="26.25">
      <c r="Y296" s="6"/>
      <c r="Z296" s="6"/>
    </row>
    <row r="297" spans="25:26" ht="26.25">
      <c r="Y297" s="6"/>
      <c r="Z297" s="6"/>
    </row>
    <row r="298" spans="25:26" ht="26.25">
      <c r="Y298" s="6"/>
      <c r="Z298" s="6"/>
    </row>
    <row r="299" spans="25:26" ht="26.25">
      <c r="Y299" s="6"/>
      <c r="Z299" s="6"/>
    </row>
    <row r="300" spans="25:26" ht="26.25">
      <c r="Y300" s="6"/>
      <c r="Z300" s="6"/>
    </row>
    <row r="301" spans="25:26" ht="26.25">
      <c r="Y301" s="6"/>
      <c r="Z301" s="6"/>
    </row>
    <row r="302" spans="25:26" ht="26.25">
      <c r="Y302" s="6"/>
      <c r="Z302" s="6"/>
    </row>
    <row r="303" spans="25:26" ht="26.25">
      <c r="Y303" s="6"/>
      <c r="Z303" s="6"/>
    </row>
    <row r="304" spans="25:26" ht="26.25">
      <c r="Y304" s="6"/>
      <c r="Z304" s="6"/>
    </row>
    <row r="305" spans="25:26" ht="26.25">
      <c r="Y305" s="6"/>
      <c r="Z305" s="6"/>
    </row>
    <row r="306" spans="25:26" ht="26.25">
      <c r="Y306" s="6"/>
      <c r="Z306" s="6"/>
    </row>
    <row r="307" spans="25:26" ht="26.25">
      <c r="Y307" s="6"/>
      <c r="Z307" s="6"/>
    </row>
    <row r="308" spans="25:26" ht="26.25">
      <c r="Y308" s="6"/>
      <c r="Z308" s="6"/>
    </row>
    <row r="309" spans="25:26" ht="26.25">
      <c r="Y309" s="6"/>
      <c r="Z309" s="6"/>
    </row>
    <row r="310" spans="25:26" ht="26.25">
      <c r="Y310" s="6"/>
      <c r="Z310" s="6"/>
    </row>
    <row r="311" spans="25:26" ht="26.25">
      <c r="Y311" s="6"/>
      <c r="Z311" s="6"/>
    </row>
    <row r="312" spans="25:26" ht="26.25">
      <c r="Y312" s="6"/>
      <c r="Z312" s="6"/>
    </row>
    <row r="313" spans="25:26" ht="26.25">
      <c r="Y313" s="6"/>
      <c r="Z313" s="6"/>
    </row>
    <row r="314" spans="25:26" ht="26.25">
      <c r="Y314" s="6"/>
      <c r="Z314" s="6"/>
    </row>
    <row r="315" spans="25:26" ht="26.25">
      <c r="Y315" s="6"/>
      <c r="Z315" s="6"/>
    </row>
    <row r="316" spans="25:26" ht="26.25">
      <c r="Y316" s="6"/>
      <c r="Z316" s="6"/>
    </row>
    <row r="317" spans="25:26" ht="26.25">
      <c r="Y317" s="6"/>
      <c r="Z317" s="6"/>
    </row>
    <row r="318" spans="25:26" ht="26.25">
      <c r="Y318" s="6"/>
      <c r="Z318" s="6"/>
    </row>
    <row r="319" spans="25:26" ht="26.25">
      <c r="Y319" s="6"/>
      <c r="Z319" s="6"/>
    </row>
    <row r="320" spans="25:26" ht="26.25">
      <c r="Y320" s="6"/>
      <c r="Z320" s="6"/>
    </row>
    <row r="321" spans="25:26" ht="26.25">
      <c r="Y321" s="6"/>
      <c r="Z321" s="6"/>
    </row>
    <row r="322" spans="25:26" ht="26.25">
      <c r="Y322" s="6"/>
      <c r="Z322" s="6"/>
    </row>
    <row r="323" spans="25:26" ht="26.25">
      <c r="Y323" s="6"/>
      <c r="Z323" s="6"/>
    </row>
    <row r="324" spans="25:26" ht="26.25">
      <c r="Y324" s="6"/>
      <c r="Z324" s="6"/>
    </row>
    <row r="325" spans="25:26" ht="26.25">
      <c r="Y325" s="6"/>
      <c r="Z325" s="6"/>
    </row>
    <row r="326" spans="25:26" ht="26.25">
      <c r="Y326" s="6"/>
      <c r="Z326" s="6"/>
    </row>
    <row r="327" spans="25:26" ht="26.25">
      <c r="Y327" s="6"/>
      <c r="Z327" s="6"/>
    </row>
    <row r="328" spans="25:26" ht="26.25">
      <c r="Y328" s="6"/>
      <c r="Z328" s="6"/>
    </row>
    <row r="329" spans="25:26" ht="26.25">
      <c r="Y329" s="6"/>
      <c r="Z329" s="6"/>
    </row>
    <row r="330" spans="25:26" ht="26.25">
      <c r="Y330" s="6"/>
      <c r="Z330" s="6"/>
    </row>
    <row r="331" spans="25:26" ht="26.25">
      <c r="Y331" s="6"/>
      <c r="Z331" s="6"/>
    </row>
    <row r="332" spans="25:26" ht="26.25">
      <c r="Y332" s="6"/>
      <c r="Z332" s="6"/>
    </row>
    <row r="333" spans="25:26" ht="26.25">
      <c r="Y333" s="6"/>
      <c r="Z333" s="6"/>
    </row>
    <row r="334" spans="25:26" ht="26.25">
      <c r="Y334" s="6"/>
      <c r="Z334" s="6"/>
    </row>
    <row r="335" spans="25:26" ht="26.25">
      <c r="Y335" s="6"/>
      <c r="Z335" s="6"/>
    </row>
    <row r="336" spans="25:26" ht="26.25">
      <c r="Y336" s="6"/>
      <c r="Z336" s="6"/>
    </row>
    <row r="337" spans="25:26" ht="26.25">
      <c r="Y337" s="6"/>
      <c r="Z337" s="6"/>
    </row>
    <row r="338" spans="25:26" ht="26.25">
      <c r="Y338" s="6"/>
      <c r="Z338" s="6"/>
    </row>
    <row r="339" spans="25:26" ht="26.25">
      <c r="Y339" s="6"/>
      <c r="Z339" s="6"/>
    </row>
    <row r="340" spans="25:26" ht="26.25">
      <c r="Y340" s="6"/>
      <c r="Z340" s="6"/>
    </row>
    <row r="341" spans="25:26" ht="26.25">
      <c r="Y341" s="6"/>
      <c r="Z341" s="6"/>
    </row>
    <row r="342" spans="25:26" ht="26.25">
      <c r="Y342" s="6"/>
      <c r="Z342" s="6"/>
    </row>
    <row r="343" spans="25:26" ht="26.25">
      <c r="Y343" s="6"/>
      <c r="Z343" s="6"/>
    </row>
    <row r="344" spans="25:26" ht="26.25">
      <c r="Y344" s="6"/>
      <c r="Z344" s="6"/>
    </row>
    <row r="345" spans="25:26" ht="26.25">
      <c r="Y345" s="6"/>
      <c r="Z345" s="6"/>
    </row>
    <row r="346" spans="25:26" ht="26.25">
      <c r="Y346" s="6"/>
      <c r="Z346" s="6"/>
    </row>
    <row r="347" spans="25:26" ht="26.25">
      <c r="Y347" s="6"/>
      <c r="Z347" s="6"/>
    </row>
    <row r="348" spans="25:26" ht="26.25">
      <c r="Y348" s="6"/>
      <c r="Z348" s="6"/>
    </row>
    <row r="349" spans="25:26" ht="26.25">
      <c r="Y349" s="6"/>
      <c r="Z349" s="6"/>
    </row>
    <row r="350" spans="25:26" ht="26.25">
      <c r="Y350" s="6"/>
      <c r="Z350" s="6"/>
    </row>
    <row r="351" spans="25:26" ht="26.25">
      <c r="Y351" s="6"/>
      <c r="Z351" s="6"/>
    </row>
    <row r="352" spans="25:26" ht="26.25">
      <c r="Y352" s="6"/>
      <c r="Z352" s="6"/>
    </row>
    <row r="353" spans="25:26" ht="26.25">
      <c r="Y353" s="6"/>
      <c r="Z353" s="6"/>
    </row>
    <row r="354" spans="25:26" ht="26.25">
      <c r="Y354" s="6"/>
      <c r="Z354" s="6"/>
    </row>
    <row r="355" spans="25:26" ht="26.25">
      <c r="Y355" s="6"/>
      <c r="Z355" s="6"/>
    </row>
    <row r="356" spans="25:26" ht="26.25">
      <c r="Y356" s="6"/>
      <c r="Z356" s="6"/>
    </row>
    <row r="357" spans="25:26" ht="26.25">
      <c r="Y357" s="6"/>
      <c r="Z357" s="6"/>
    </row>
    <row r="358" spans="25:26" ht="26.25">
      <c r="Y358" s="6"/>
      <c r="Z358" s="6"/>
    </row>
    <row r="359" spans="25:26" ht="26.25">
      <c r="Y359" s="6"/>
      <c r="Z359" s="6"/>
    </row>
    <row r="360" spans="25:26" ht="26.25">
      <c r="Y360" s="6"/>
      <c r="Z360" s="6"/>
    </row>
    <row r="361" spans="25:26" ht="26.25">
      <c r="Y361" s="6"/>
      <c r="Z361" s="6"/>
    </row>
    <row r="362" spans="25:26" ht="26.25">
      <c r="Y362" s="6"/>
      <c r="Z362" s="6"/>
    </row>
    <row r="363" spans="25:26" ht="26.25">
      <c r="Y363" s="6"/>
      <c r="Z363" s="6"/>
    </row>
    <row r="364" spans="25:26" ht="26.25">
      <c r="Y364" s="6"/>
      <c r="Z364" s="6"/>
    </row>
    <row r="365" spans="25:26" ht="26.25">
      <c r="Y365" s="6"/>
      <c r="Z365" s="6"/>
    </row>
    <row r="366" spans="25:26" ht="26.25">
      <c r="Y366" s="6"/>
      <c r="Z366" s="6"/>
    </row>
    <row r="367" spans="25:26" ht="26.25">
      <c r="Y367" s="6"/>
      <c r="Z367" s="6"/>
    </row>
    <row r="368" spans="25:26" ht="26.25">
      <c r="Y368" s="6"/>
      <c r="Z368" s="6"/>
    </row>
    <row r="369" spans="25:26" ht="26.25">
      <c r="Y369" s="6"/>
      <c r="Z369" s="6"/>
    </row>
    <row r="370" spans="25:26" ht="26.25">
      <c r="Y370" s="6"/>
      <c r="Z370" s="6"/>
    </row>
    <row r="371" spans="25:26" ht="26.25">
      <c r="Y371" s="6"/>
      <c r="Z371" s="6"/>
    </row>
    <row r="372" spans="25:26" ht="26.25">
      <c r="Y372" s="6"/>
      <c r="Z372" s="6"/>
    </row>
    <row r="373" spans="25:26" ht="26.25">
      <c r="Y373" s="6"/>
      <c r="Z373" s="6"/>
    </row>
    <row r="374" spans="25:26" ht="26.25">
      <c r="Y374" s="6"/>
      <c r="Z374" s="6"/>
    </row>
    <row r="375" spans="25:26" ht="26.25">
      <c r="Y375" s="6"/>
      <c r="Z375" s="6"/>
    </row>
    <row r="376" spans="25:26" ht="26.25">
      <c r="Y376" s="6"/>
      <c r="Z376" s="6"/>
    </row>
    <row r="377" spans="25:26" ht="26.25">
      <c r="Y377" s="6"/>
      <c r="Z377" s="6"/>
    </row>
    <row r="378" spans="25:26" ht="26.25">
      <c r="Y378" s="6"/>
      <c r="Z378" s="6"/>
    </row>
    <row r="379" spans="25:26" ht="26.25">
      <c r="Y379" s="6"/>
      <c r="Z379" s="6"/>
    </row>
    <row r="380" spans="25:26" ht="26.25">
      <c r="Y380" s="6"/>
      <c r="Z380" s="6"/>
    </row>
    <row r="381" spans="25:26" ht="26.25">
      <c r="Y381" s="6"/>
      <c r="Z381" s="6"/>
    </row>
    <row r="382" spans="25:26" ht="26.25">
      <c r="Y382" s="6"/>
      <c r="Z382" s="6"/>
    </row>
    <row r="383" spans="25:26" ht="26.25">
      <c r="Y383" s="6"/>
      <c r="Z383" s="6"/>
    </row>
    <row r="384" spans="25:26" ht="26.25">
      <c r="Y384" s="6"/>
      <c r="Z384" s="6"/>
    </row>
    <row r="385" spans="25:26" ht="26.25">
      <c r="Y385" s="6"/>
      <c r="Z385" s="6"/>
    </row>
    <row r="386" spans="25:26" ht="26.25">
      <c r="Y386" s="6"/>
      <c r="Z386" s="6"/>
    </row>
    <row r="387" spans="25:26" ht="26.25">
      <c r="Y387" s="6"/>
      <c r="Z387" s="6"/>
    </row>
    <row r="388" spans="25:26" ht="26.25">
      <c r="Y388" s="6"/>
      <c r="Z388" s="6"/>
    </row>
    <row r="389" spans="25:26" ht="26.25">
      <c r="Y389" s="6"/>
      <c r="Z389" s="6"/>
    </row>
    <row r="390" spans="25:26" ht="26.25">
      <c r="Y390" s="6"/>
      <c r="Z390" s="6"/>
    </row>
    <row r="391" spans="25:26" ht="26.25">
      <c r="Y391" s="6"/>
      <c r="Z391" s="6"/>
    </row>
    <row r="392" spans="25:26" ht="26.25">
      <c r="Y392" s="6"/>
      <c r="Z392" s="6"/>
    </row>
    <row r="393" spans="25:26" ht="26.25">
      <c r="Y393" s="6"/>
      <c r="Z393" s="6"/>
    </row>
    <row r="394" spans="25:26" ht="26.25">
      <c r="Y394" s="6"/>
      <c r="Z394" s="6"/>
    </row>
    <row r="395" spans="25:26" ht="26.25">
      <c r="Y395" s="6"/>
      <c r="Z395" s="6"/>
    </row>
    <row r="396" spans="25:26" ht="26.25">
      <c r="Y396" s="6"/>
      <c r="Z396" s="6"/>
    </row>
    <row r="397" spans="25:26" ht="26.25">
      <c r="Y397" s="6"/>
      <c r="Z397" s="6"/>
    </row>
    <row r="398" spans="25:26" ht="26.25">
      <c r="Y398" s="6"/>
      <c r="Z398" s="6"/>
    </row>
    <row r="399" spans="25:26" ht="26.25">
      <c r="Y399" s="6"/>
      <c r="Z399" s="6"/>
    </row>
    <row r="400" spans="25:26" ht="26.25">
      <c r="Y400" s="6"/>
      <c r="Z400" s="6"/>
    </row>
    <row r="401" spans="25:26" ht="26.25">
      <c r="Y401" s="6"/>
      <c r="Z401" s="6"/>
    </row>
    <row r="402" spans="25:26" ht="26.25">
      <c r="Y402" s="6"/>
      <c r="Z402" s="6"/>
    </row>
    <row r="403" spans="25:26" ht="26.25">
      <c r="Y403" s="6"/>
      <c r="Z403" s="6"/>
    </row>
    <row r="404" spans="25:26" ht="26.25">
      <c r="Y404" s="6"/>
      <c r="Z404" s="6"/>
    </row>
    <row r="405" spans="25:26" ht="26.25">
      <c r="Y405" s="6"/>
      <c r="Z405" s="6"/>
    </row>
    <row r="406" spans="25:26" ht="26.25">
      <c r="Y406" s="6"/>
      <c r="Z406" s="6"/>
    </row>
    <row r="407" spans="25:26" ht="26.25">
      <c r="Y407" s="6"/>
      <c r="Z407" s="6"/>
    </row>
    <row r="408" spans="25:26" ht="26.25">
      <c r="Y408" s="6"/>
      <c r="Z408" s="6"/>
    </row>
    <row r="409" spans="25:26" ht="26.25">
      <c r="Y409" s="6"/>
      <c r="Z409" s="6"/>
    </row>
    <row r="410" spans="25:26" ht="26.25">
      <c r="Y410" s="6"/>
      <c r="Z410" s="6"/>
    </row>
    <row r="411" spans="25:26" ht="26.25">
      <c r="Y411" s="6"/>
      <c r="Z411" s="6"/>
    </row>
    <row r="412" spans="25:26" ht="26.25">
      <c r="Y412" s="6"/>
      <c r="Z412" s="6"/>
    </row>
    <row r="413" spans="25:26" ht="26.25">
      <c r="Y413" s="6"/>
      <c r="Z413" s="6"/>
    </row>
    <row r="414" spans="25:26" ht="26.25">
      <c r="Y414" s="6"/>
      <c r="Z414" s="6"/>
    </row>
    <row r="415" spans="25:26" ht="26.25">
      <c r="Y415" s="6"/>
      <c r="Z415" s="6"/>
    </row>
    <row r="416" spans="25:26" ht="26.25">
      <c r="Y416" s="6"/>
      <c r="Z416" s="6"/>
    </row>
    <row r="417" spans="25:26" ht="26.25">
      <c r="Y417" s="6"/>
      <c r="Z417" s="6"/>
    </row>
    <row r="418" spans="25:26" ht="26.25">
      <c r="Y418" s="6"/>
      <c r="Z418" s="6"/>
    </row>
    <row r="419" spans="25:26" ht="26.25">
      <c r="Y419" s="6"/>
      <c r="Z419" s="6"/>
    </row>
    <row r="420" spans="25:26" ht="26.25">
      <c r="Y420" s="6"/>
      <c r="Z420" s="6"/>
    </row>
    <row r="421" spans="25:26" ht="26.25">
      <c r="Y421" s="6"/>
      <c r="Z421" s="6"/>
    </row>
    <row r="422" spans="25:26" ht="26.25">
      <c r="Y422" s="6"/>
      <c r="Z422" s="6"/>
    </row>
    <row r="423" spans="25:26" ht="26.25">
      <c r="Y423" s="6"/>
      <c r="Z423" s="6"/>
    </row>
    <row r="424" spans="25:26" ht="26.25">
      <c r="Y424" s="6"/>
      <c r="Z424" s="6"/>
    </row>
    <row r="425" spans="25:26" ht="26.25">
      <c r="Y425" s="6"/>
      <c r="Z425" s="6"/>
    </row>
    <row r="426" spans="25:26" ht="26.25">
      <c r="Y426" s="6"/>
      <c r="Z426" s="6"/>
    </row>
    <row r="427" spans="25:26" ht="26.25">
      <c r="Y427" s="6"/>
      <c r="Z427" s="6"/>
    </row>
    <row r="428" spans="25:26" ht="26.25">
      <c r="Y428" s="6"/>
      <c r="Z428" s="6"/>
    </row>
    <row r="429" spans="25:26" ht="26.25">
      <c r="Y429" s="6"/>
      <c r="Z429" s="6"/>
    </row>
    <row r="430" spans="25:26" ht="26.25">
      <c r="Y430" s="6"/>
      <c r="Z430" s="6"/>
    </row>
    <row r="431" spans="25:26" ht="26.25">
      <c r="Y431" s="6"/>
      <c r="Z431" s="6"/>
    </row>
    <row r="432" spans="25:26" ht="26.25">
      <c r="Y432" s="6"/>
      <c r="Z432" s="6"/>
    </row>
    <row r="433" spans="25:26" ht="26.25">
      <c r="Y433" s="6"/>
      <c r="Z433" s="6"/>
    </row>
    <row r="434" spans="25:26" ht="26.25">
      <c r="Y434" s="6"/>
      <c r="Z434" s="6"/>
    </row>
    <row r="435" spans="25:26" ht="26.25">
      <c r="Y435" s="6"/>
      <c r="Z435" s="6"/>
    </row>
    <row r="436" spans="25:26" ht="26.25">
      <c r="Y436" s="6"/>
      <c r="Z436" s="6"/>
    </row>
    <row r="437" spans="25:26" ht="26.25">
      <c r="Y437" s="6"/>
      <c r="Z437" s="6"/>
    </row>
    <row r="438" spans="25:26" ht="26.25">
      <c r="Y438" s="6"/>
      <c r="Z438" s="6"/>
    </row>
    <row r="439" spans="25:26" ht="26.25">
      <c r="Y439" s="6"/>
      <c r="Z439" s="6"/>
    </row>
    <row r="440" spans="25:26" ht="26.25">
      <c r="Y440" s="6"/>
      <c r="Z440" s="6"/>
    </row>
    <row r="441" spans="25:26" ht="26.25">
      <c r="Y441" s="6"/>
      <c r="Z441" s="6"/>
    </row>
    <row r="442" spans="25:26" ht="26.25">
      <c r="Y442" s="6"/>
      <c r="Z442" s="6"/>
    </row>
    <row r="443" spans="25:26" ht="26.25">
      <c r="Y443" s="6"/>
      <c r="Z443" s="6"/>
    </row>
    <row r="444" spans="25:26" ht="26.25">
      <c r="Y444" s="6"/>
      <c r="Z444" s="6"/>
    </row>
    <row r="445" spans="25:26" ht="26.25">
      <c r="Y445" s="6"/>
      <c r="Z445" s="6"/>
    </row>
    <row r="446" spans="25:26" ht="26.25">
      <c r="Y446" s="6"/>
      <c r="Z446" s="6"/>
    </row>
    <row r="447" spans="25:26" ht="26.25">
      <c r="Y447" s="6"/>
      <c r="Z447" s="6"/>
    </row>
    <row r="448" spans="25:26" ht="26.25">
      <c r="Y448" s="6"/>
      <c r="Z448" s="6"/>
    </row>
    <row r="449" spans="25:26" ht="26.25">
      <c r="Y449" s="6"/>
      <c r="Z449" s="6"/>
    </row>
    <row r="450" spans="25:26" ht="26.25">
      <c r="Y450" s="6"/>
      <c r="Z450" s="6"/>
    </row>
    <row r="451" spans="25:26" ht="26.25">
      <c r="Y451" s="6"/>
      <c r="Z451" s="6"/>
    </row>
    <row r="452" spans="25:26" ht="26.25">
      <c r="Y452" s="6"/>
      <c r="Z452" s="6"/>
    </row>
    <row r="453" spans="25:26" ht="26.25">
      <c r="Y453" s="6"/>
      <c r="Z453" s="6"/>
    </row>
    <row r="454" spans="25:26" ht="26.25">
      <c r="Y454" s="6"/>
      <c r="Z454" s="6"/>
    </row>
    <row r="455" spans="25:26" ht="26.25">
      <c r="Y455" s="6"/>
      <c r="Z455" s="6"/>
    </row>
    <row r="456" spans="25:26" ht="26.25">
      <c r="Y456" s="6"/>
      <c r="Z456" s="6"/>
    </row>
    <row r="457" spans="25:26" ht="26.25">
      <c r="Y457" s="6"/>
      <c r="Z457" s="6"/>
    </row>
    <row r="458" spans="25:26" ht="26.25">
      <c r="Y458" s="6"/>
      <c r="Z458" s="6"/>
    </row>
    <row r="459" spans="25:26" ht="26.25">
      <c r="Y459" s="6"/>
      <c r="Z459" s="6"/>
    </row>
    <row r="460" spans="25:26" ht="26.25">
      <c r="Y460" s="6"/>
      <c r="Z460" s="6"/>
    </row>
    <row r="461" spans="25:26" ht="26.25">
      <c r="Y461" s="6"/>
      <c r="Z461" s="6"/>
    </row>
    <row r="462" spans="25:26" ht="26.25">
      <c r="Y462" s="6"/>
      <c r="Z462" s="6"/>
    </row>
    <row r="463" spans="25:26" ht="26.25">
      <c r="Y463" s="6"/>
      <c r="Z463" s="6"/>
    </row>
    <row r="464" spans="25:26" ht="26.25">
      <c r="Y464" s="6"/>
      <c r="Z464" s="6"/>
    </row>
    <row r="465" spans="25:26" ht="26.25">
      <c r="Y465" s="6"/>
      <c r="Z465" s="6"/>
    </row>
    <row r="466" spans="25:26" ht="26.25">
      <c r="Y466" s="6"/>
      <c r="Z466" s="6"/>
    </row>
    <row r="467" spans="25:26" ht="26.25">
      <c r="Y467" s="6"/>
      <c r="Z467" s="6"/>
    </row>
    <row r="468" spans="25:26" ht="26.25">
      <c r="Y468" s="6"/>
      <c r="Z468" s="6"/>
    </row>
    <row r="469" spans="25:26" ht="26.25">
      <c r="Y469" s="6"/>
      <c r="Z469" s="6"/>
    </row>
    <row r="470" spans="25:26" ht="26.25">
      <c r="Y470" s="6"/>
      <c r="Z470" s="6"/>
    </row>
    <row r="471" spans="25:26" ht="26.25">
      <c r="Y471" s="6"/>
      <c r="Z471" s="6"/>
    </row>
    <row r="472" spans="25:26" ht="26.25">
      <c r="Y472" s="6"/>
      <c r="Z472" s="6"/>
    </row>
    <row r="473" spans="25:26" ht="26.25">
      <c r="Y473" s="6"/>
      <c r="Z473" s="6"/>
    </row>
    <row r="474" spans="25:26" ht="26.25">
      <c r="Y474" s="6"/>
      <c r="Z474" s="6"/>
    </row>
    <row r="475" spans="25:26" ht="26.25">
      <c r="Y475" s="6"/>
      <c r="Z475" s="6"/>
    </row>
    <row r="476" spans="25:26" ht="26.25">
      <c r="Y476" s="6"/>
      <c r="Z476" s="6"/>
    </row>
    <row r="477" spans="25:26" ht="26.25">
      <c r="Y477" s="6"/>
      <c r="Z477" s="6"/>
    </row>
    <row r="478" spans="25:26" ht="26.25">
      <c r="Y478" s="6"/>
      <c r="Z478" s="6"/>
    </row>
    <row r="479" spans="25:26" ht="26.25">
      <c r="Y479" s="6"/>
      <c r="Z479" s="6"/>
    </row>
    <row r="480" spans="25:26" ht="26.25">
      <c r="Y480" s="6"/>
      <c r="Z480" s="6"/>
    </row>
    <row r="481" spans="25:26" ht="26.25">
      <c r="Y481" s="6"/>
      <c r="Z481" s="6"/>
    </row>
    <row r="482" spans="25:26" ht="26.25">
      <c r="Y482" s="6"/>
      <c r="Z482" s="6"/>
    </row>
    <row r="483" spans="25:26" ht="26.25">
      <c r="Y483" s="6"/>
      <c r="Z483" s="6"/>
    </row>
    <row r="484" spans="25:26" ht="26.25">
      <c r="Y484" s="6"/>
      <c r="Z484" s="6"/>
    </row>
    <row r="485" spans="25:26" ht="26.25">
      <c r="Y485" s="6"/>
      <c r="Z485" s="6"/>
    </row>
    <row r="486" spans="25:26" ht="26.25">
      <c r="Y486" s="6"/>
      <c r="Z486" s="6"/>
    </row>
    <row r="487" spans="25:26" ht="26.25">
      <c r="Y487" s="6"/>
      <c r="Z487" s="6"/>
    </row>
    <row r="488" spans="25:26" ht="26.25">
      <c r="Y488" s="6"/>
      <c r="Z488" s="6"/>
    </row>
    <row r="489" spans="25:26" ht="26.25">
      <c r="Y489" s="6"/>
      <c r="Z489" s="6"/>
    </row>
    <row r="490" spans="25:26" ht="26.25">
      <c r="Y490" s="6"/>
      <c r="Z490" s="6"/>
    </row>
    <row r="491" spans="25:26" ht="26.25">
      <c r="Y491" s="6"/>
      <c r="Z491" s="6"/>
    </row>
    <row r="492" spans="25:26" ht="26.25">
      <c r="Y492" s="6"/>
      <c r="Z492" s="6"/>
    </row>
    <row r="493" spans="25:26" ht="26.25">
      <c r="Y493" s="6"/>
      <c r="Z493" s="6"/>
    </row>
    <row r="494" spans="25:26" ht="26.25">
      <c r="Y494" s="6"/>
      <c r="Z494" s="6"/>
    </row>
    <row r="495" spans="25:26" ht="26.25">
      <c r="Y495" s="6"/>
      <c r="Z495" s="6"/>
    </row>
    <row r="496" spans="25:26" ht="26.25">
      <c r="Y496" s="6"/>
      <c r="Z496" s="6"/>
    </row>
    <row r="497" spans="25:26" ht="26.25">
      <c r="Y497" s="6"/>
      <c r="Z497" s="6"/>
    </row>
    <row r="498" spans="25:26" ht="26.25">
      <c r="Y498" s="6"/>
      <c r="Z498" s="6"/>
    </row>
    <row r="499" spans="25:26" ht="26.25">
      <c r="Y499" s="6"/>
      <c r="Z499" s="6"/>
    </row>
    <row r="500" spans="25:26" ht="26.25">
      <c r="Y500" s="6"/>
      <c r="Z500" s="6"/>
    </row>
    <row r="501" spans="25:26" ht="26.25">
      <c r="Y501" s="6"/>
      <c r="Z501" s="6"/>
    </row>
    <row r="502" spans="25:26" ht="26.25">
      <c r="Y502" s="6"/>
      <c r="Z502" s="6"/>
    </row>
    <row r="503" spans="25:26" ht="26.25">
      <c r="Y503" s="6"/>
      <c r="Z503" s="6"/>
    </row>
    <row r="504" spans="25:26" ht="26.25">
      <c r="Y504" s="6"/>
      <c r="Z504" s="6"/>
    </row>
    <row r="505" spans="25:26" ht="26.25">
      <c r="Y505" s="6"/>
      <c r="Z505" s="6"/>
    </row>
  </sheetData>
  <sheetProtection/>
  <mergeCells count="17">
    <mergeCell ref="A1:AP1"/>
    <mergeCell ref="A2:AP2"/>
    <mergeCell ref="A4:A5"/>
    <mergeCell ref="B4:B5"/>
    <mergeCell ref="C4:C5"/>
    <mergeCell ref="D4:I4"/>
    <mergeCell ref="K4:P4"/>
    <mergeCell ref="R4:W4"/>
    <mergeCell ref="Y4:AE4"/>
    <mergeCell ref="AF4:AL4"/>
    <mergeCell ref="BA49:BE49"/>
    <mergeCell ref="AM4:AS4"/>
    <mergeCell ref="AT4:AZ4"/>
    <mergeCell ref="B49:E49"/>
    <mergeCell ref="U49:V49"/>
    <mergeCell ref="AT49:AW49"/>
    <mergeCell ref="AY49:AZ49"/>
  </mergeCells>
  <printOptions/>
  <pageMargins left="0" right="0" top="0" bottom="0" header="0.1968503937007874" footer="0.2755905511811024"/>
  <pageSetup fitToHeight="1" fitToWidth="1" horizontalDpi="600" verticalDpi="600" orientation="landscape" paperSize="9" scale="13" r:id="rId1"/>
  <ignoredErrors>
    <ignoredError sqref="D42:H42 L19 R42 Y42 AA40 Y37 Y33 AF30:AK31 AF34:AK36 AG32:AK33 AM37 AM42:AM45" formula="1"/>
    <ignoredError sqref="K40:K41 D37:K37 D35:G35 L37:P37 K34:K36 K38:K39 K28:K33 K18:K26 K7:K17 L7:Q7 P22 AF7:AF9 AF11:AF14 AL7 AG7 AF19 AK19:AL19 AK22:AK27 AF40:AF41 AF43:AF45 K43:K46" evalError="1"/>
    <ignoredError sqref="D43:G43 D27:P27 M19:P19 AF10 AF15 AG19:AJ19 AF22:AJ27 AF32:AF33 AF37:AK37 AF42" evalError="1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BM505"/>
  <sheetViews>
    <sheetView view="pageBreakPreview" zoomScale="50" zoomScaleSheetLayoutView="5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7" sqref="G7"/>
    </sheetView>
  </sheetViews>
  <sheetFormatPr defaultColWidth="9.00390625" defaultRowHeight="12.75"/>
  <cols>
    <col min="1" max="1" width="11.125" style="5" customWidth="1"/>
    <col min="2" max="2" width="119.375" style="5" customWidth="1"/>
    <col min="3" max="3" width="15.75390625" style="5" customWidth="1"/>
    <col min="4" max="4" width="36.00390625" style="6" customWidth="1"/>
    <col min="5" max="5" width="33.875" style="92" customWidth="1"/>
    <col min="6" max="6" width="33.625" style="92" customWidth="1"/>
    <col min="7" max="7" width="30.625" style="92" customWidth="1"/>
    <col min="8" max="8" width="30.75390625" style="92" customWidth="1"/>
    <col min="9" max="9" width="28.75390625" style="92" customWidth="1"/>
    <col min="10" max="10" width="30.125" style="92" customWidth="1"/>
    <col min="11" max="11" width="13.375" style="6" customWidth="1"/>
    <col min="12" max="12" width="32.125" style="6" customWidth="1"/>
    <col min="13" max="13" width="32.25390625" style="6" customWidth="1"/>
    <col min="14" max="14" width="32.00390625" style="6" customWidth="1"/>
    <col min="15" max="15" width="30.875" style="6" customWidth="1"/>
    <col min="16" max="16" width="32.875" style="6" customWidth="1"/>
    <col min="17" max="17" width="31.75390625" style="6" customWidth="1"/>
    <col min="18" max="18" width="29.625" style="6" hidden="1" customWidth="1"/>
    <col min="19" max="19" width="26.75390625" style="6" hidden="1" customWidth="1"/>
    <col min="20" max="20" width="26.625" style="6" hidden="1" customWidth="1"/>
    <col min="21" max="21" width="25.625" style="6" hidden="1" customWidth="1"/>
    <col min="22" max="22" width="25.00390625" style="6" hidden="1" customWidth="1"/>
    <col min="23" max="23" width="26.625" style="6" hidden="1" customWidth="1"/>
    <col min="24" max="24" width="23.125" style="6" hidden="1" customWidth="1"/>
    <col min="25" max="25" width="24.75390625" style="95" hidden="1" customWidth="1"/>
    <col min="26" max="26" width="27.25390625" style="92" hidden="1" customWidth="1"/>
    <col min="27" max="27" width="24.75390625" style="92" hidden="1" customWidth="1"/>
    <col min="28" max="28" width="25.875" style="92" hidden="1" customWidth="1"/>
    <col min="29" max="29" width="24.375" style="92" hidden="1" customWidth="1"/>
    <col min="30" max="30" width="24.00390625" style="92" hidden="1" customWidth="1"/>
    <col min="31" max="31" width="21.75390625" style="92" hidden="1" customWidth="1"/>
    <col min="32" max="32" width="17.375" style="6" hidden="1" customWidth="1"/>
    <col min="33" max="33" width="17.75390625" style="6" hidden="1" customWidth="1"/>
    <col min="34" max="34" width="17.875" style="6" hidden="1" customWidth="1"/>
    <col min="35" max="35" width="17.00390625" style="6" hidden="1" customWidth="1"/>
    <col min="36" max="36" width="16.125" style="6" hidden="1" customWidth="1"/>
    <col min="37" max="37" width="17.25390625" style="6" hidden="1" customWidth="1"/>
    <col min="38" max="38" width="19.625" style="6" hidden="1" customWidth="1"/>
    <col min="39" max="39" width="26.875" style="6" hidden="1" customWidth="1"/>
    <col min="40" max="40" width="25.875" style="6" hidden="1" customWidth="1"/>
    <col min="41" max="41" width="26.875" style="6" hidden="1" customWidth="1"/>
    <col min="42" max="42" width="25.625" style="6" hidden="1" customWidth="1"/>
    <col min="43" max="43" width="25.00390625" style="6" hidden="1" customWidth="1"/>
    <col min="44" max="45" width="26.25390625" style="6" hidden="1" customWidth="1"/>
    <col min="46" max="46" width="25.625" style="93" hidden="1" customWidth="1"/>
    <col min="47" max="48" width="23.875" style="6" hidden="1" customWidth="1"/>
    <col min="49" max="49" width="26.125" style="6" hidden="1" customWidth="1"/>
    <col min="50" max="50" width="23.875" style="6" hidden="1" customWidth="1"/>
    <col min="51" max="52" width="25.375" style="6" hidden="1" customWidth="1"/>
    <col min="53" max="65" width="9.125" style="4" customWidth="1"/>
    <col min="66" max="16384" width="9.125" style="5" customWidth="1"/>
  </cols>
  <sheetData>
    <row r="1" spans="1:52" ht="99" customHeight="1">
      <c r="A1" s="234" t="s">
        <v>65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1"/>
      <c r="AR1" s="1"/>
      <c r="AS1" s="1"/>
      <c r="AT1" s="2"/>
      <c r="AU1" s="3"/>
      <c r="AV1" s="3"/>
      <c r="AW1" s="3"/>
      <c r="AX1" s="3"/>
      <c r="AY1" s="3"/>
      <c r="AZ1" s="3"/>
    </row>
    <row r="2" spans="1:52" ht="79.5" customHeight="1">
      <c r="A2" s="234" t="s">
        <v>68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1"/>
      <c r="AR2" s="1"/>
      <c r="AS2" s="1"/>
      <c r="AT2" s="2"/>
      <c r="AU2" s="3"/>
      <c r="AV2" s="3"/>
      <c r="AW2" s="3"/>
      <c r="AX2" s="3"/>
      <c r="AY2" s="3"/>
      <c r="AZ2" s="3"/>
    </row>
    <row r="3" spans="1:46" ht="11.25" customHeight="1" thickBot="1">
      <c r="A3" s="1"/>
      <c r="B3" s="1"/>
      <c r="D3" s="3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2"/>
    </row>
    <row r="4" spans="1:65" s="8" customFormat="1" ht="45.75" customHeight="1">
      <c r="A4" s="216"/>
      <c r="B4" s="218" t="s">
        <v>7</v>
      </c>
      <c r="C4" s="218" t="s">
        <v>69</v>
      </c>
      <c r="D4" s="209" t="s">
        <v>67</v>
      </c>
      <c r="E4" s="210"/>
      <c r="F4" s="210"/>
      <c r="G4" s="210"/>
      <c r="H4" s="210"/>
      <c r="I4" s="220"/>
      <c r="J4" s="111"/>
      <c r="K4" s="211" t="s">
        <v>66</v>
      </c>
      <c r="L4" s="210"/>
      <c r="M4" s="210"/>
      <c r="N4" s="210"/>
      <c r="O4" s="210"/>
      <c r="P4" s="220"/>
      <c r="Q4" s="207"/>
      <c r="R4" s="210" t="s">
        <v>31</v>
      </c>
      <c r="S4" s="210"/>
      <c r="T4" s="210"/>
      <c r="U4" s="210"/>
      <c r="V4" s="210"/>
      <c r="W4" s="220"/>
      <c r="X4" s="111"/>
      <c r="Y4" s="209" t="s">
        <v>8</v>
      </c>
      <c r="Z4" s="210"/>
      <c r="AA4" s="210"/>
      <c r="AB4" s="210"/>
      <c r="AC4" s="210"/>
      <c r="AD4" s="210"/>
      <c r="AE4" s="220"/>
      <c r="AF4" s="221" t="s">
        <v>10</v>
      </c>
      <c r="AG4" s="222"/>
      <c r="AH4" s="222"/>
      <c r="AI4" s="222"/>
      <c r="AJ4" s="222"/>
      <c r="AK4" s="222"/>
      <c r="AL4" s="223"/>
      <c r="AM4" s="209" t="s">
        <v>32</v>
      </c>
      <c r="AN4" s="210"/>
      <c r="AO4" s="210"/>
      <c r="AP4" s="210"/>
      <c r="AQ4" s="210"/>
      <c r="AR4" s="210"/>
      <c r="AS4" s="210"/>
      <c r="AT4" s="211" t="s">
        <v>33</v>
      </c>
      <c r="AU4" s="210"/>
      <c r="AV4" s="210"/>
      <c r="AW4" s="210"/>
      <c r="AX4" s="210"/>
      <c r="AY4" s="210"/>
      <c r="AZ4" s="212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52" ht="65.25" customHeight="1">
      <c r="A5" s="217"/>
      <c r="B5" s="219"/>
      <c r="C5" s="219"/>
      <c r="D5" s="11" t="s">
        <v>6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245" t="s">
        <v>36</v>
      </c>
      <c r="K5" s="255"/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235" t="s">
        <v>36</v>
      </c>
      <c r="R5" s="225" t="s">
        <v>6</v>
      </c>
      <c r="S5" s="12" t="s">
        <v>12</v>
      </c>
      <c r="T5" s="12" t="s">
        <v>13</v>
      </c>
      <c r="U5" s="12" t="s">
        <v>14</v>
      </c>
      <c r="V5" s="12" t="s">
        <v>15</v>
      </c>
      <c r="W5" s="12" t="s">
        <v>16</v>
      </c>
      <c r="X5" s="12" t="s">
        <v>36</v>
      </c>
      <c r="Y5" s="11" t="s">
        <v>6</v>
      </c>
      <c r="Z5" s="12" t="s">
        <v>12</v>
      </c>
      <c r="AA5" s="12" t="s">
        <v>13</v>
      </c>
      <c r="AB5" s="12" t="s">
        <v>14</v>
      </c>
      <c r="AC5" s="12" t="s">
        <v>15</v>
      </c>
      <c r="AD5" s="12" t="s">
        <v>16</v>
      </c>
      <c r="AE5" s="12" t="s">
        <v>36</v>
      </c>
      <c r="AF5" s="11" t="s">
        <v>6</v>
      </c>
      <c r="AG5" s="12" t="s">
        <v>12</v>
      </c>
      <c r="AH5" s="12" t="s">
        <v>13</v>
      </c>
      <c r="AI5" s="12" t="s">
        <v>14</v>
      </c>
      <c r="AJ5" s="12" t="s">
        <v>15</v>
      </c>
      <c r="AK5" s="12" t="s">
        <v>16</v>
      </c>
      <c r="AL5" s="12" t="s">
        <v>36</v>
      </c>
      <c r="AM5" s="14" t="s">
        <v>6</v>
      </c>
      <c r="AN5" s="12" t="s">
        <v>12</v>
      </c>
      <c r="AO5" s="12" t="s">
        <v>13</v>
      </c>
      <c r="AP5" s="12" t="s">
        <v>14</v>
      </c>
      <c r="AQ5" s="12" t="s">
        <v>15</v>
      </c>
      <c r="AR5" s="12" t="s">
        <v>16</v>
      </c>
      <c r="AS5" s="112" t="s">
        <v>36</v>
      </c>
      <c r="AT5" s="114" t="s">
        <v>6</v>
      </c>
      <c r="AU5" s="16" t="s">
        <v>12</v>
      </c>
      <c r="AV5" s="16" t="s">
        <v>13</v>
      </c>
      <c r="AW5" s="16" t="s">
        <v>14</v>
      </c>
      <c r="AX5" s="16" t="s">
        <v>15</v>
      </c>
      <c r="AY5" s="16" t="s">
        <v>16</v>
      </c>
      <c r="AZ5" s="110" t="s">
        <v>36</v>
      </c>
    </row>
    <row r="6" spans="1:65" s="22" customFormat="1" ht="25.5" customHeight="1" thickBot="1">
      <c r="A6" s="17"/>
      <c r="B6" s="18">
        <v>2</v>
      </c>
      <c r="C6" s="18"/>
      <c r="D6" s="19">
        <v>3</v>
      </c>
      <c r="E6" s="18"/>
      <c r="F6" s="18"/>
      <c r="G6" s="18"/>
      <c r="H6" s="18"/>
      <c r="I6" s="18"/>
      <c r="J6" s="246"/>
      <c r="K6" s="256"/>
      <c r="L6" s="20"/>
      <c r="M6" s="20"/>
      <c r="N6" s="20"/>
      <c r="O6" s="20"/>
      <c r="P6" s="20"/>
      <c r="Q6" s="236"/>
      <c r="R6" s="226">
        <v>5</v>
      </c>
      <c r="S6" s="20"/>
      <c r="T6" s="20"/>
      <c r="U6" s="20"/>
      <c r="V6" s="20"/>
      <c r="W6" s="20"/>
      <c r="X6" s="20"/>
      <c r="Y6" s="19">
        <v>6</v>
      </c>
      <c r="Z6" s="18"/>
      <c r="AA6" s="18"/>
      <c r="AB6" s="18"/>
      <c r="AC6" s="18"/>
      <c r="AD6" s="18"/>
      <c r="AE6" s="18"/>
      <c r="AF6" s="19">
        <v>7</v>
      </c>
      <c r="AG6" s="20"/>
      <c r="AH6" s="20"/>
      <c r="AI6" s="20"/>
      <c r="AJ6" s="20"/>
      <c r="AK6" s="20"/>
      <c r="AL6" s="20"/>
      <c r="AM6" s="19">
        <v>8</v>
      </c>
      <c r="AN6" s="20"/>
      <c r="AO6" s="20"/>
      <c r="AP6" s="20"/>
      <c r="AQ6" s="20"/>
      <c r="AR6" s="20"/>
      <c r="AS6" s="113"/>
      <c r="AT6" s="115">
        <v>9</v>
      </c>
      <c r="AU6" s="116"/>
      <c r="AV6" s="116"/>
      <c r="AW6" s="116"/>
      <c r="AX6" s="116"/>
      <c r="AY6" s="116"/>
      <c r="AZ6" s="117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</row>
    <row r="7" spans="1:65" s="29" customFormat="1" ht="52.5" customHeight="1" thickBot="1">
      <c r="A7" s="23">
        <v>1</v>
      </c>
      <c r="B7" s="24" t="s">
        <v>2</v>
      </c>
      <c r="C7" s="24" t="s">
        <v>4</v>
      </c>
      <c r="D7" s="25">
        <f>SUM(D8:D18)-94.5942</f>
        <v>85727.463391299</v>
      </c>
      <c r="E7" s="25">
        <f aca="true" t="shared" si="0" ref="D7:J7">SUM(E8:E18)</f>
        <v>6713.08091735732</v>
      </c>
      <c r="F7" s="25">
        <f t="shared" si="0"/>
        <v>39438.4046669096</v>
      </c>
      <c r="G7" s="25">
        <f>SUM(G8:G18)-94.5942</f>
        <v>14921.917067513878</v>
      </c>
      <c r="H7" s="25">
        <f t="shared" si="0"/>
        <v>13117.016499999998</v>
      </c>
      <c r="I7" s="25">
        <f t="shared" si="0"/>
        <v>9742.247584679259</v>
      </c>
      <c r="J7" s="247">
        <f t="shared" si="0"/>
        <v>1794.7966548389377</v>
      </c>
      <c r="K7" s="118"/>
      <c r="L7" s="27"/>
      <c r="M7" s="27"/>
      <c r="N7" s="27"/>
      <c r="O7" s="27"/>
      <c r="P7" s="27"/>
      <c r="Q7" s="237"/>
      <c r="R7" s="61">
        <f aca="true" t="shared" si="1" ref="R7:AE7">SUM(R8:R18)</f>
        <v>164435022.57000002</v>
      </c>
      <c r="S7" s="27">
        <f t="shared" si="1"/>
        <v>14807577.190000001</v>
      </c>
      <c r="T7" s="27">
        <f t="shared" si="1"/>
        <v>64086900.21</v>
      </c>
      <c r="U7" s="27">
        <f t="shared" si="1"/>
        <v>32728528.25</v>
      </c>
      <c r="V7" s="27">
        <f t="shared" si="1"/>
        <v>28755883.68</v>
      </c>
      <c r="W7" s="27">
        <f t="shared" si="1"/>
        <v>21652189.130000003</v>
      </c>
      <c r="X7" s="27">
        <f t="shared" si="1"/>
        <v>2403944.1100000003</v>
      </c>
      <c r="Y7" s="59">
        <f t="shared" si="1"/>
        <v>83804.04852721427</v>
      </c>
      <c r="Z7" s="59">
        <f t="shared" si="1"/>
        <v>6727.017032979579</v>
      </c>
      <c r="AA7" s="59">
        <f t="shared" si="1"/>
        <v>39321.20412694381</v>
      </c>
      <c r="AB7" s="59">
        <f t="shared" si="1"/>
        <v>14989.081536595777</v>
      </c>
      <c r="AC7" s="59">
        <f t="shared" si="1"/>
        <v>12523.593788229362</v>
      </c>
      <c r="AD7" s="59">
        <f t="shared" si="1"/>
        <v>8450.972059608886</v>
      </c>
      <c r="AE7" s="59">
        <f t="shared" si="1"/>
        <v>1792.1799828568555</v>
      </c>
      <c r="AF7" s="28">
        <f>AM7/Y7</f>
        <v>1265.622769710905</v>
      </c>
      <c r="AG7" s="101">
        <f>AN7/Z7</f>
        <v>1269.0395874051765</v>
      </c>
      <c r="AH7" s="101">
        <f>AH10</f>
        <v>1306.63</v>
      </c>
      <c r="AI7" s="101">
        <f>AI9</f>
        <v>1306.63</v>
      </c>
      <c r="AJ7" s="101">
        <f>AJ12</f>
        <v>1306.63</v>
      </c>
      <c r="AK7" s="27">
        <f>AK12</f>
        <v>1306.63</v>
      </c>
      <c r="AL7" s="27">
        <f>AS7/AE7</f>
        <v>1170.383795190248</v>
      </c>
      <c r="AM7" s="27">
        <f aca="true" t="shared" si="2" ref="AM7:AZ7">SUM(AM8:AM18)</f>
        <v>106064312.01</v>
      </c>
      <c r="AN7" s="27">
        <f t="shared" si="2"/>
        <v>8536850.92</v>
      </c>
      <c r="AO7" s="27">
        <f t="shared" si="2"/>
        <v>49829320.269999996</v>
      </c>
      <c r="AP7" s="27">
        <f t="shared" si="2"/>
        <v>19007871.01</v>
      </c>
      <c r="AQ7" s="27">
        <f t="shared" si="2"/>
        <v>15875156.459999999</v>
      </c>
      <c r="AR7" s="27">
        <f t="shared" si="2"/>
        <v>10717574.94</v>
      </c>
      <c r="AS7" s="27">
        <f t="shared" si="2"/>
        <v>2097538.41</v>
      </c>
      <c r="AT7" s="118">
        <f t="shared" si="2"/>
        <v>37566.81240055186</v>
      </c>
      <c r="AU7" s="27">
        <f t="shared" si="2"/>
        <v>0</v>
      </c>
      <c r="AV7" s="27">
        <f t="shared" si="2"/>
        <v>0</v>
      </c>
      <c r="AW7" s="27">
        <f t="shared" si="2"/>
        <v>0</v>
      </c>
      <c r="AX7" s="27">
        <f t="shared" si="2"/>
        <v>0</v>
      </c>
      <c r="AY7" s="27">
        <f t="shared" si="2"/>
        <v>0</v>
      </c>
      <c r="AZ7" s="27">
        <f t="shared" si="2"/>
        <v>37566.81240055186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</row>
    <row r="8" spans="1:52" ht="53.25" customHeight="1">
      <c r="A8" s="38"/>
      <c r="B8" s="47" t="s">
        <v>20</v>
      </c>
      <c r="C8" s="48"/>
      <c r="D8" s="49">
        <f aca="true" t="shared" si="3" ref="D8:D16">SUM(E8:I8)</f>
        <v>260.32301735731943</v>
      </c>
      <c r="E8" s="45">
        <f>Январь!E8+Февраль!E8+Март!E8+Апрель!E8+Май!E8+Июнь!E8+'Июль 1'!E8+Август!E8+Сентябрь!E8+Октябрь!E8+Ноябрь!E8+Декабрь!E8</f>
        <v>260.32301735731943</v>
      </c>
      <c r="F8" s="45"/>
      <c r="G8" s="45"/>
      <c r="H8" s="45"/>
      <c r="I8" s="45"/>
      <c r="J8" s="248"/>
      <c r="K8" s="257"/>
      <c r="L8" s="13">
        <v>1393.74</v>
      </c>
      <c r="M8" s="13"/>
      <c r="N8" s="13"/>
      <c r="O8" s="13"/>
      <c r="P8" s="13"/>
      <c r="Q8" s="239"/>
      <c r="R8" s="227">
        <f aca="true" t="shared" si="4" ref="R8:R16">SUM(S8:W8)</f>
        <v>873287.43</v>
      </c>
      <c r="S8" s="182">
        <f>Январь!S8+Февраль!S8+Март!S8+Апрель!S8+Май!S8+Июнь!S8+'Июль 1'!S8+Август!S8+Сентябрь!S8+Октябрь!S8+Ноябрь!S8+Декабрь!S8</f>
        <v>873287.43</v>
      </c>
      <c r="T8" s="182"/>
      <c r="U8" s="182"/>
      <c r="V8" s="182"/>
      <c r="W8" s="45"/>
      <c r="X8" s="45"/>
      <c r="Y8" s="67">
        <f aca="true" t="shared" si="5" ref="Y8:Y16">SUM(Z8:AD8)</f>
        <v>264.00012727685424</v>
      </c>
      <c r="Z8" s="45">
        <f>Январь!Z8+Февраль!Z8+Март!Z8+Апрель!Z8+Май!Z8+Июнь!Z8+'Июль 1'!Z8+Август!Z8+Сентябрь!Z8+Октябрь!Z8+Ноябрь!Z8+Декабрь!Z8</f>
        <v>264.00012727685424</v>
      </c>
      <c r="AA8" s="45"/>
      <c r="AB8" s="45"/>
      <c r="AC8" s="45"/>
      <c r="AD8" s="45"/>
      <c r="AE8" s="45"/>
      <c r="AF8" s="14">
        <f>AG8</f>
        <v>1393.74</v>
      </c>
      <c r="AG8" s="13">
        <v>1393.74</v>
      </c>
      <c r="AH8" s="13"/>
      <c r="AI8" s="13"/>
      <c r="AJ8" s="13"/>
      <c r="AK8" s="13"/>
      <c r="AL8" s="37"/>
      <c r="AM8" s="15">
        <f aca="true" t="shared" si="6" ref="AM8:AM16">SUM(AN8:AR8)</f>
        <v>341603.52999999997</v>
      </c>
      <c r="AN8" s="182">
        <f>Январь!AN8+Февраль!AN8+Март!AN8+Апрель!AN8+Май!AN8+Июнь!AN8+'Июль 1'!AN8+Август!AN8+Сентябрь!AN8+Октябрь!AN8+Ноябрь!AN8+Декабрь!AN8</f>
        <v>341603.52999999997</v>
      </c>
      <c r="AO8" s="182"/>
      <c r="AP8" s="182"/>
      <c r="AQ8" s="182"/>
      <c r="AR8" s="45"/>
      <c r="AS8" s="45"/>
      <c r="AT8" s="15">
        <f aca="true" t="shared" si="7" ref="AT8:AT16">SUM(AU8:AY8)</f>
        <v>0</v>
      </c>
      <c r="AU8" s="37">
        <f>(L8-AG8)*E8</f>
        <v>0</v>
      </c>
      <c r="AV8" s="37"/>
      <c r="AW8" s="37"/>
      <c r="AX8" s="37"/>
      <c r="AY8" s="37"/>
      <c r="AZ8" s="13"/>
    </row>
    <row r="9" spans="1:52" ht="53.25" customHeight="1">
      <c r="A9" s="38"/>
      <c r="B9" s="47" t="s">
        <v>21</v>
      </c>
      <c r="C9" s="48"/>
      <c r="D9" s="51">
        <f t="shared" si="3"/>
        <v>447.241883693197</v>
      </c>
      <c r="E9" s="45"/>
      <c r="F9" s="45"/>
      <c r="G9" s="45">
        <f>Январь!G9+Февраль!G9+Март!G9+Апрель!G9+Май!G9+Июнь!G9+'Июль 1'!G9+Август!G9+Сентябрь!G9+Октябрь!G9+Ноябрь!G9+Декабрь!G9</f>
        <v>447.241883693197</v>
      </c>
      <c r="H9" s="45"/>
      <c r="I9" s="45"/>
      <c r="J9" s="248"/>
      <c r="K9" s="257"/>
      <c r="L9" s="13"/>
      <c r="M9" s="13"/>
      <c r="N9" s="13">
        <v>1306.63</v>
      </c>
      <c r="O9" s="13"/>
      <c r="P9" s="13"/>
      <c r="Q9" s="239"/>
      <c r="R9" s="227">
        <f t="shared" si="4"/>
        <v>1403133.35</v>
      </c>
      <c r="S9" s="182"/>
      <c r="T9" s="182"/>
      <c r="U9" s="182">
        <f>Январь!U9+Февраль!U9+Март!U9+Апрель!U9+Май!U9+Июнь!U9+'Июль 1'!U9+Август!U9+Сентябрь!U9+Октябрь!U9+Ноябрь!U9+Декабрь!U9</f>
        <v>1403133.35</v>
      </c>
      <c r="V9" s="182"/>
      <c r="W9" s="45"/>
      <c r="X9" s="45"/>
      <c r="Y9" s="67">
        <f t="shared" si="5"/>
        <v>448.7071164486903</v>
      </c>
      <c r="Z9" s="45"/>
      <c r="AA9" s="45"/>
      <c r="AB9" s="45">
        <f>Январь!AB9+Февраль!AB9+Март!AB9+Апрель!AB9+Май!AB9+Июнь!AB9+'Июль 1'!AB9+Август!AB9+Сентябрь!AB9+Октябрь!AB9+Ноябрь!AB9+Декабрь!AB9</f>
        <v>448.7071164486903</v>
      </c>
      <c r="AC9" s="45"/>
      <c r="AD9" s="45"/>
      <c r="AE9" s="45"/>
      <c r="AF9" s="14">
        <f>AI9</f>
        <v>1306.63</v>
      </c>
      <c r="AG9" s="13"/>
      <c r="AH9" s="13"/>
      <c r="AI9" s="13">
        <v>1306.63</v>
      </c>
      <c r="AJ9" s="13"/>
      <c r="AK9" s="13"/>
      <c r="AL9" s="37"/>
      <c r="AM9" s="15">
        <f t="shared" si="6"/>
        <v>569050.4</v>
      </c>
      <c r="AN9" s="182"/>
      <c r="AO9" s="182"/>
      <c r="AP9" s="182">
        <f>Январь!AP9+Февраль!AP9+Март!AP9+Апрель!AP9+Май!AP9+Июнь!AP9+'Июль 1'!AP9+Август!AP9+Сентябрь!AP9+Октябрь!AP9+Ноябрь!AP9+Декабрь!AP9</f>
        <v>569050.4</v>
      </c>
      <c r="AQ9" s="182"/>
      <c r="AR9" s="45"/>
      <c r="AS9" s="45"/>
      <c r="AT9" s="15">
        <f t="shared" si="7"/>
        <v>0</v>
      </c>
      <c r="AU9" s="37"/>
      <c r="AV9" s="37"/>
      <c r="AW9" s="37">
        <f>(N9-AI9)*G9</f>
        <v>0</v>
      </c>
      <c r="AX9" s="37"/>
      <c r="AY9" s="37"/>
      <c r="AZ9" s="13"/>
    </row>
    <row r="10" spans="1:52" ht="54.75" customHeight="1">
      <c r="A10" s="38"/>
      <c r="B10" s="54" t="s">
        <v>43</v>
      </c>
      <c r="C10" s="40"/>
      <c r="D10" s="49">
        <f t="shared" si="3"/>
        <v>9162.381996909598</v>
      </c>
      <c r="E10" s="45"/>
      <c r="F10" s="45">
        <f>Январь!F10+Февраль!F10+Март!F10+Апрель!F10+Май!F10+Июнь!F10+'Июль 1'!F10+Август!F10+Сентябрь!F10+Октябрь!F10+Ноябрь!F10+Декабрь!F10</f>
        <v>9162.381996909598</v>
      </c>
      <c r="G10" s="45"/>
      <c r="H10" s="45"/>
      <c r="I10" s="45"/>
      <c r="J10" s="248"/>
      <c r="K10" s="257"/>
      <c r="L10" s="13"/>
      <c r="M10" s="13">
        <v>1306.63</v>
      </c>
      <c r="N10" s="13"/>
      <c r="O10" s="13"/>
      <c r="P10" s="13"/>
      <c r="Q10" s="239"/>
      <c r="R10" s="227">
        <f t="shared" si="4"/>
        <v>14327329.419999998</v>
      </c>
      <c r="S10" s="182"/>
      <c r="T10" s="182">
        <f>Январь!T10+Февраль!T10+Март!T10+Апрель!T10+Май!T10+Июнь!T10+'Июль 1'!T10+Август!T10+Сентябрь!T10+Октябрь!T10+Ноябрь!T10+Декабрь!T10</f>
        <v>14327329.419999998</v>
      </c>
      <c r="U10" s="182"/>
      <c r="V10" s="182"/>
      <c r="W10" s="45"/>
      <c r="X10" s="45"/>
      <c r="Y10" s="67">
        <f t="shared" si="5"/>
        <v>9162.382207264127</v>
      </c>
      <c r="Z10" s="45"/>
      <c r="AA10" s="45">
        <f>Январь!AA10+Февраль!AA10+Март!AA10+Апрель!AA10+Май!AA10+Июнь!AA10+'Июль 1'!AA10+Август!AA10+Сентябрь!AA10+Октябрь!AA10+Ноябрь!AA10+Декабрь!AA10</f>
        <v>9162.382207264127</v>
      </c>
      <c r="AB10" s="45"/>
      <c r="AC10" s="45"/>
      <c r="AD10" s="45"/>
      <c r="AE10" s="45"/>
      <c r="AF10" s="14">
        <f>AH10</f>
        <v>1306.63</v>
      </c>
      <c r="AG10" s="13"/>
      <c r="AH10" s="13">
        <v>1306.63</v>
      </c>
      <c r="AI10" s="13"/>
      <c r="AJ10" s="13"/>
      <c r="AK10" s="13"/>
      <c r="AL10" s="37"/>
      <c r="AM10" s="15">
        <f t="shared" si="6"/>
        <v>11618673.89</v>
      </c>
      <c r="AN10" s="182"/>
      <c r="AO10" s="182">
        <f>Январь!AO10+Февраль!AO10+Март!AO10+Апрель!AO10+Май!AO10+Июнь!AO10+'Июль 1'!AO10+Август!AO10+Сентябрь!AO10+Октябрь!AO10+Ноябрь!AO10+Декабрь!AO10</f>
        <v>11618673.89</v>
      </c>
      <c r="AP10" s="182"/>
      <c r="AQ10" s="182"/>
      <c r="AR10" s="45"/>
      <c r="AS10" s="45"/>
      <c r="AT10" s="15">
        <f t="shared" si="7"/>
        <v>0</v>
      </c>
      <c r="AU10" s="37"/>
      <c r="AV10" s="37">
        <f>(M10-AH10)*F10</f>
        <v>0</v>
      </c>
      <c r="AW10" s="37"/>
      <c r="AX10" s="37"/>
      <c r="AY10" s="37"/>
      <c r="AZ10" s="13"/>
    </row>
    <row r="11" spans="1:52" ht="42" customHeight="1">
      <c r="A11" s="38"/>
      <c r="B11" s="54" t="s">
        <v>22</v>
      </c>
      <c r="C11" s="40"/>
      <c r="D11" s="41">
        <f t="shared" si="3"/>
        <v>83.36296311986047</v>
      </c>
      <c r="E11" s="42"/>
      <c r="F11" s="42"/>
      <c r="G11" s="45">
        <f>Январь!G11+Февраль!G11+Март!G11+Апрель!G11+Май!G11+Июнь!G11+'Июль 1'!G11+Август!G11+Сентябрь!G11+Октябрь!G11+Ноябрь!G11+Декабрь!G11</f>
        <v>83.36296311986047</v>
      </c>
      <c r="H11" s="42"/>
      <c r="I11" s="42"/>
      <c r="J11" s="107"/>
      <c r="K11" s="257"/>
      <c r="L11" s="13"/>
      <c r="M11" s="13"/>
      <c r="N11" s="13">
        <v>1306.63</v>
      </c>
      <c r="O11" s="13"/>
      <c r="P11" s="13"/>
      <c r="Q11" s="235"/>
      <c r="R11" s="228">
        <f t="shared" si="4"/>
        <v>120164.90000000001</v>
      </c>
      <c r="S11" s="184"/>
      <c r="T11" s="184"/>
      <c r="U11" s="182">
        <f>Январь!U11+Февраль!U11+Март!U11+Апрель!U11+Май!U11+Июнь!U11+'Июль 1'!U11+Август!U11+Сентябрь!U11+Октябрь!U11+Ноябрь!U11+Декабрь!U11</f>
        <v>120164.90000000001</v>
      </c>
      <c r="V11" s="184"/>
      <c r="W11" s="42"/>
      <c r="X11" s="42"/>
      <c r="Y11" s="64">
        <f t="shared" si="5"/>
        <v>88.55512998220426</v>
      </c>
      <c r="Z11" s="42"/>
      <c r="AA11" s="42"/>
      <c r="AB11" s="45">
        <f>Январь!AB11+Февраль!AB11+Март!AB11+Апрель!AB11+Май!AB11+Июнь!AB11+'Июль 1'!AB11+Август!AB11+Сентябрь!AB11+Октябрь!AB11+Ноябрь!AB11+Декабрь!AB11</f>
        <v>88.55512998220426</v>
      </c>
      <c r="AC11" s="42"/>
      <c r="AD11" s="42"/>
      <c r="AE11" s="42"/>
      <c r="AF11" s="14">
        <f>AI11</f>
        <v>1306.63</v>
      </c>
      <c r="AG11" s="13"/>
      <c r="AH11" s="13"/>
      <c r="AI11" s="13">
        <v>1306.63</v>
      </c>
      <c r="AJ11" s="13"/>
      <c r="AK11" s="13"/>
      <c r="AL11" s="13"/>
      <c r="AM11" s="14">
        <f t="shared" si="6"/>
        <v>112305.66</v>
      </c>
      <c r="AN11" s="184"/>
      <c r="AO11" s="184"/>
      <c r="AP11" s="182">
        <f>Январь!AP11+Февраль!AP11+Март!AP11+Апрель!AP11+Май!AP11+Июнь!AP11+'Июль 1'!AP11+Август!AP11+Сентябрь!AP11+Октябрь!AP11+Ноябрь!AP11+Декабрь!AP11</f>
        <v>112305.66</v>
      </c>
      <c r="AQ11" s="184"/>
      <c r="AR11" s="42"/>
      <c r="AS11" s="42"/>
      <c r="AT11" s="14">
        <f t="shared" si="7"/>
        <v>0</v>
      </c>
      <c r="AU11" s="37"/>
      <c r="AV11" s="37"/>
      <c r="AW11" s="37">
        <f>(N11-AI11)*G11</f>
        <v>0</v>
      </c>
      <c r="AX11" s="37"/>
      <c r="AY11" s="37"/>
      <c r="AZ11" s="13"/>
    </row>
    <row r="12" spans="1:52" ht="33" customHeight="1">
      <c r="A12" s="30"/>
      <c r="B12" s="31" t="s">
        <v>17</v>
      </c>
      <c r="C12" s="32"/>
      <c r="D12" s="33">
        <f>SUM(E12:J12)</f>
        <v>49751.253899999996</v>
      </c>
      <c r="E12" s="45">
        <f>Январь!E12+Февраль!E12+Март!E12+Апрель!E12+Май!E12+Июнь!E12+'Июль 1'!E12+Август!E12+Сентябрь!E12+Октябрь!E12+Ноябрь!E12+Декабрь!E12</f>
        <v>6452.7579000000005</v>
      </c>
      <c r="F12" s="45">
        <f>Январь!F12+Февраль!F12+Март!F12+Апрель!F12+Май!F12+Июнь!F12+'Июль 1'!F12+Август!F12+Сентябрь!F12+Октябрь!F12+Ноябрь!F12+Декабрь!F12</f>
        <v>6588.582799999999</v>
      </c>
      <c r="G12" s="45">
        <f>Январь!G12+Февраль!G12+Март!G12+Апрель!G12+Май!G12+Июнь!G12+'Июль 1'!G12+Август!G12+Сентябрь!G12+Октябрь!G12+Ноябрь!G12+Декабрь!G12</f>
        <v>14391.3122</v>
      </c>
      <c r="H12" s="45">
        <f>Январь!H12+Февраль!H12+Март!H12+Апрель!H12+Май!H12+Июнь!H12+'Июль 1'!H12+Август!H12+Сентябрь!H12+Октябрь!H12+Ноябрь!H12+Декабрь!H12</f>
        <v>13117.016499999998</v>
      </c>
      <c r="I12" s="45">
        <f>Январь!I12+Февраль!I12+Март!I12+Апрель!I12+Май!I12+Июнь!I12+'Июль 1'!I12+Август!I12+Сентябрь!I12+Октябрь!I12+Ноябрь!I12+Декабрь!I12</f>
        <v>8952.1155</v>
      </c>
      <c r="J12" s="96">
        <f>Ноябрь!J12+Декабрь!J12</f>
        <v>249.469</v>
      </c>
      <c r="K12" s="258"/>
      <c r="L12" s="37">
        <v>1306.63</v>
      </c>
      <c r="M12" s="37">
        <f>L12</f>
        <v>1306.63</v>
      </c>
      <c r="N12" s="37">
        <f>M12</f>
        <v>1306.63</v>
      </c>
      <c r="O12" s="37">
        <f>N12</f>
        <v>1306.63</v>
      </c>
      <c r="P12" s="37">
        <f>O12</f>
        <v>1306.63</v>
      </c>
      <c r="Q12" s="240">
        <f>Ноябрь!J12+Декабрь!J12</f>
        <v>249.469</v>
      </c>
      <c r="R12" s="229">
        <f>SUM(S12:X12)</f>
        <v>108322447.27</v>
      </c>
      <c r="S12" s="182">
        <f>Январь!S12+Февраль!S12+Март!S12+Апрель!S12+Май!S12+Июнь!S12+'Июль 1'!S12+Август!S12+Сентябрь!S12+Октябрь!S12+Ноябрь!S12+Декабрь!S12</f>
        <v>13934289.760000002</v>
      </c>
      <c r="T12" s="182">
        <f>Январь!T12+Февраль!T12+Март!T12+Апрель!T12+Май!T12+Июнь!T12+'Июль 1'!T12+Август!T12+Сентябрь!T12+Октябрь!T12+Ноябрь!T12+Декабрь!T12</f>
        <v>14247546.120000001</v>
      </c>
      <c r="U12" s="182">
        <f>Январь!U12+Февраль!U12+Март!U12+Апрель!U12+Май!U12+Июнь!U12+'Июль 1'!U12+Август!U12+Сентябрь!U12+Октябрь!U12+Ноябрь!U12+Декабрь!U12</f>
        <v>31085226.45</v>
      </c>
      <c r="V12" s="182">
        <f>Январь!V12+Февраль!V12+Март!V12+Апрель!V12+Май!V12+Июнь!V12+'Июль 1'!V12+Август!V12+Сентябрь!V12+Октябрь!V12+Ноябрь!V12+Декабрь!V12</f>
        <v>28755883.68</v>
      </c>
      <c r="W12" s="182">
        <f>Январь!W12+Февраль!W12+Март!W12+Апрель!W12+Май!W12+Июнь!W12+'Июль 1'!W12+Август!W12+Сентябрь!W12+Октябрь!W12+Ноябрь!W12+Декабрь!W12</f>
        <v>19973539.290000003</v>
      </c>
      <c r="X12" s="183">
        <f>Ноябрь!X12+Декабрь!X12</f>
        <v>325961.97</v>
      </c>
      <c r="Y12" s="62">
        <f>SUM(Z12:AE12)</f>
        <v>47752.50836897391</v>
      </c>
      <c r="Z12" s="45">
        <f>Январь!Z12+Февраль!Z12+Март!Z12+Апрель!Z12+Май!Z12+Июнь!Z12+'Июль 1'!Z12+Август!Z12+Сентябрь!Z12+Октябрь!Z12+Ноябрь!Z12+Декабрь!Z12</f>
        <v>6463.016905702725</v>
      </c>
      <c r="AA12" s="45">
        <f>Январь!AA12+Февраль!AA12+Март!AA12+Апрель!AA12+Май!AA12+Июнь!AA12+'Июль 1'!AA12+Август!AA12+Сентябрь!AA12+Октябрь!AA12+Ноябрь!AA12+Декабрь!AA12</f>
        <v>6503.504854264377</v>
      </c>
      <c r="AB12" s="45">
        <f>Январь!AB12+Февраль!AB12+Март!AB12+Апрель!AB12+Май!AB12+Июнь!AB12+'Июль 1'!AB12+Август!AB12+Сентябрь!AB12+Октябрь!AB12+Ноябрь!AB12+Декабрь!AB12</f>
        <v>14354.696539135355</v>
      </c>
      <c r="AC12" s="45">
        <f>Январь!AC12+Февраль!AC12+Март!AC12+Апрель!AC12+Май!AC12+Июнь!AC12+'Июль 1'!AC12+Август!AC12+Сентябрь!AC12+Октябрь!AC12+Ноябрь!AC12+Декабрь!AC12</f>
        <v>12523.593788229362</v>
      </c>
      <c r="AD12" s="45">
        <f>Январь!AD12+Февраль!AD12+Март!AD12+Апрель!AD12+Май!AD12+Июнь!AD12+'Июль 1'!AD12+Август!AD12+Сентябрь!AD12+Октябрь!AD12+Ноябрь!AD12+Декабрь!AD12</f>
        <v>7660.838976972831</v>
      </c>
      <c r="AE12" s="45">
        <f>Январь!AE12+Февраль!AE12+Март!AE12+Апрель!AE12+Май!AE12+Июнь!AE12+'Июль 1'!AE12+Август!AE12+Сентябрь!AE12+Октябрь!AE12+Ноябрь!AE12+Декабрь!AE12</f>
        <v>246.85730466926367</v>
      </c>
      <c r="AF12" s="15">
        <f>AG12</f>
        <v>1306.63</v>
      </c>
      <c r="AG12" s="37">
        <v>1306.63</v>
      </c>
      <c r="AH12" s="37">
        <f>AG12</f>
        <v>1306.63</v>
      </c>
      <c r="AI12" s="37">
        <f>AH12</f>
        <v>1306.63</v>
      </c>
      <c r="AJ12" s="37">
        <f>AI12</f>
        <v>1306.63</v>
      </c>
      <c r="AK12" s="37">
        <f>AJ12</f>
        <v>1306.63</v>
      </c>
      <c r="AL12" s="36">
        <v>1306.63</v>
      </c>
      <c r="AM12" s="35">
        <f>SUM(AN12:AS12)</f>
        <v>60558896.17</v>
      </c>
      <c r="AN12" s="182">
        <f>Январь!AN12+Февраль!AN12+Март!AN12+Апрель!AN12+Май!AN12+Июнь!AN12+'Июль 1'!AN12+Август!AN12+Сентябрь!AN12+Октябрь!AN12+Ноябрь!AN12+Декабрь!AN12</f>
        <v>8195247.390000001</v>
      </c>
      <c r="AO12" s="182">
        <f>Январь!AO12+Февраль!AO12+Март!AO12+Апрель!AO12+Май!AO12+Июнь!AO12+'Июль 1'!AO12+Август!AO12+Сентябрь!AO12+Октябрь!AO12+Ноябрь!AO12+Декабрь!AO12</f>
        <v>8247190.46</v>
      </c>
      <c r="AP12" s="182">
        <f>Январь!AP12+Февраль!AP12+Март!AP12+Апрель!AP12+Май!AP12+Июнь!AP12+'Июль 1'!AP12+Август!AP12+Сентябрь!AP12+Октябрь!AP12+Ноябрь!AP12+Декабрь!AP12</f>
        <v>18203207.180000003</v>
      </c>
      <c r="AQ12" s="182">
        <f>Январь!AQ12+Февраль!AQ12+Март!AQ12+Апрель!AQ12+Май!AQ12+Июнь!AQ12+'Июль 1'!AQ12+Август!AQ12+Сентябрь!AQ12+Октябрь!AQ12+Ноябрь!AQ12+Декабрь!AQ12</f>
        <v>15875156.459999999</v>
      </c>
      <c r="AR12" s="182">
        <f>Январь!AR12+Февраль!AR12+Март!AR12+Апрель!AR12+Май!AR12+Июнь!AR12+'Июль 1'!AR12+Август!AR12+Сентябрь!AR12+Октябрь!AR12+Ноябрь!AR12+Декабрь!AR12</f>
        <v>9715543.52</v>
      </c>
      <c r="AS12" s="182">
        <f>Январь!AS12+Февраль!AS12+Март!AS12+Апрель!AS12+Май!AS12+Июнь!AS12+'Июль 1'!AS12+Август!AS12+Сентябрь!AS12+Октябрь!AS12+Ноябрь!AS12+Декабрь!AS12</f>
        <v>322551.16000000003</v>
      </c>
      <c r="AT12" s="35">
        <f t="shared" si="7"/>
        <v>0</v>
      </c>
      <c r="AU12" s="37">
        <f>(L12-AG12)*E12</f>
        <v>0</v>
      </c>
      <c r="AV12" s="37">
        <f>(M12-AH12)*F12</f>
        <v>0</v>
      </c>
      <c r="AW12" s="37">
        <f>(N12-AI12)*G12</f>
        <v>0</v>
      </c>
      <c r="AX12" s="37">
        <f>(O12-AJ12)*H12</f>
        <v>0</v>
      </c>
      <c r="AY12" s="37">
        <f>(P12-AK12)*I12</f>
        <v>0</v>
      </c>
      <c r="AZ12" s="37"/>
    </row>
    <row r="13" spans="1:52" ht="63.75" customHeight="1">
      <c r="A13" s="38"/>
      <c r="B13" s="39" t="s">
        <v>42</v>
      </c>
      <c r="C13" s="40"/>
      <c r="D13" s="41">
        <f t="shared" si="3"/>
        <v>790.1320846792592</v>
      </c>
      <c r="E13" s="42"/>
      <c r="F13" s="42"/>
      <c r="G13" s="42"/>
      <c r="H13" s="42"/>
      <c r="I13" s="45">
        <f>Январь!I13+Февраль!I13+Март!I13+Апрель!I13+Май!I13+Июнь!I13+'Июль 1'!I13+Август!I13+Сентябрь!I13+Октябрь!I13+Ноябрь!I13+Декабрь!I13</f>
        <v>790.1320846792592</v>
      </c>
      <c r="J13" s="107"/>
      <c r="K13" s="257"/>
      <c r="L13" s="13"/>
      <c r="M13" s="13"/>
      <c r="N13" s="13"/>
      <c r="O13" s="13"/>
      <c r="P13" s="13">
        <v>1306.63</v>
      </c>
      <c r="Q13" s="235"/>
      <c r="R13" s="228">
        <f t="shared" si="4"/>
        <v>1678649.8399999999</v>
      </c>
      <c r="S13" s="184"/>
      <c r="T13" s="184"/>
      <c r="U13" s="184"/>
      <c r="V13" s="184"/>
      <c r="W13" s="182">
        <f>Январь!W13+Февраль!W13+Март!W13+Апрель!W13+Май!W13+Июнь!W13+'Июль 1'!W13+Август!W13+Сентябрь!W13+Октябрь!W13+Ноябрь!W13+Декабрь!W13</f>
        <v>1678649.8399999999</v>
      </c>
      <c r="X13" s="184"/>
      <c r="Y13" s="64">
        <f t="shared" si="5"/>
        <v>790.1330826360556</v>
      </c>
      <c r="Z13" s="42"/>
      <c r="AA13" s="42"/>
      <c r="AB13" s="42"/>
      <c r="AC13" s="42"/>
      <c r="AD13" s="45">
        <f>Январь!AD13+Февраль!AD13+Март!AD13+Апрель!AD13+Май!AD13+Июнь!AD13+'Июль 1'!AD13+Август!AD13+Сентябрь!AD13+Октябрь!AD13+Ноябрь!AD13+Декабрь!AD13</f>
        <v>790.1330826360556</v>
      </c>
      <c r="AE13" s="42"/>
      <c r="AF13" s="14">
        <f>AK13</f>
        <v>1306.63</v>
      </c>
      <c r="AG13" s="13"/>
      <c r="AH13" s="13"/>
      <c r="AI13" s="13"/>
      <c r="AJ13" s="13"/>
      <c r="AK13" s="13">
        <v>1306.63</v>
      </c>
      <c r="AL13" s="13"/>
      <c r="AM13" s="14">
        <f t="shared" si="6"/>
        <v>1002031.42</v>
      </c>
      <c r="AN13" s="184"/>
      <c r="AO13" s="184"/>
      <c r="AP13" s="184"/>
      <c r="AQ13" s="184"/>
      <c r="AR13" s="182">
        <f>Январь!AR13+Февраль!AR13+Март!AR13+Апрель!AR13+Май!AR13+Июнь!AR13+'Июль 1'!AR13+Август!AR13+Сентябрь!AR13+Октябрь!AR13+Ноябрь!AR13+Декабрь!AR13</f>
        <v>1002031.42</v>
      </c>
      <c r="AS13" s="184"/>
      <c r="AT13" s="14">
        <f t="shared" si="7"/>
        <v>0</v>
      </c>
      <c r="AU13" s="37"/>
      <c r="AV13" s="37"/>
      <c r="AW13" s="37"/>
      <c r="AX13" s="37"/>
      <c r="AY13" s="37">
        <f>(P13-AK13)*I13</f>
        <v>0</v>
      </c>
      <c r="AZ13" s="13"/>
    </row>
    <row r="14" spans="1:52" ht="37.5" customHeight="1">
      <c r="A14" s="38"/>
      <c r="B14" s="54" t="s">
        <v>23</v>
      </c>
      <c r="C14" s="40"/>
      <c r="D14" s="51">
        <f t="shared" si="3"/>
        <v>1344.6950000000002</v>
      </c>
      <c r="E14" s="45"/>
      <c r="F14" s="45">
        <f>Январь!F14+Февраль!F14+Март!F14+Апрель!F14+Май!F14+Июнь!F14+'Июль 1'!F14+Август!F14+Сентябрь!F14+Октябрь!F14+Ноябрь!F14+Декабрь!F14</f>
        <v>1344.6950000000002</v>
      </c>
      <c r="G14" s="45"/>
      <c r="H14" s="45"/>
      <c r="I14" s="45"/>
      <c r="J14" s="248"/>
      <c r="K14" s="257"/>
      <c r="L14" s="13"/>
      <c r="M14" s="13">
        <v>1306.63</v>
      </c>
      <c r="N14" s="13"/>
      <c r="O14" s="13"/>
      <c r="P14" s="13"/>
      <c r="Q14" s="239"/>
      <c r="R14" s="227">
        <f t="shared" si="4"/>
        <v>2054116.98</v>
      </c>
      <c r="S14" s="182"/>
      <c r="T14" s="182">
        <f>Январь!T14+Февраль!T14+Март!T14+Апрель!T14+Май!T14+Июнь!T14+'Июль 1'!T14+Август!T14+Сентябрь!T14+Октябрь!T14+Ноябрь!T14+Декабрь!T14</f>
        <v>2054116.98</v>
      </c>
      <c r="U14" s="182"/>
      <c r="V14" s="182"/>
      <c r="W14" s="182"/>
      <c r="X14" s="182"/>
      <c r="Y14" s="67">
        <f t="shared" si="5"/>
        <v>1344.6935042255368</v>
      </c>
      <c r="Z14" s="45"/>
      <c r="AA14" s="45">
        <f>Январь!AA14+Февраль!AA14+Март!AA14+Апрель!AA14+Май!AA14+Июнь!AA14+'Июль 1'!AA14+Август!AA14+Сентябрь!AA14+Октябрь!AA14+Ноябрь!AA14+Декабрь!AA14</f>
        <v>1344.6935042255368</v>
      </c>
      <c r="AB14" s="45"/>
      <c r="AC14" s="45"/>
      <c r="AD14" s="45"/>
      <c r="AE14" s="45"/>
      <c r="AF14" s="14">
        <f>AH14</f>
        <v>1306.63</v>
      </c>
      <c r="AG14" s="13"/>
      <c r="AH14" s="13">
        <v>1306.63</v>
      </c>
      <c r="AI14" s="13"/>
      <c r="AJ14" s="13"/>
      <c r="AK14" s="13"/>
      <c r="AL14" s="37"/>
      <c r="AM14" s="15">
        <f t="shared" si="6"/>
        <v>1705341.4300000002</v>
      </c>
      <c r="AN14" s="182"/>
      <c r="AO14" s="182">
        <f>Январь!AO14+Февраль!AO14+Март!AO14+Апрель!AO14+Май!AO14+Июнь!AO14+'Июль 1'!AO14+Август!AO14+Сентябрь!AO14+Октябрь!AO14+Ноябрь!AO14+Декабрь!AO14</f>
        <v>1705341.4300000002</v>
      </c>
      <c r="AP14" s="182"/>
      <c r="AQ14" s="182"/>
      <c r="AR14" s="182"/>
      <c r="AS14" s="182"/>
      <c r="AT14" s="15">
        <f t="shared" si="7"/>
        <v>0</v>
      </c>
      <c r="AU14" s="37"/>
      <c r="AV14" s="37">
        <f>(M14-AH14)*F14</f>
        <v>0</v>
      </c>
      <c r="AW14" s="37"/>
      <c r="AX14" s="37"/>
      <c r="AY14" s="37"/>
      <c r="AZ14" s="13"/>
    </row>
    <row r="15" spans="1:52" ht="35.25" customHeight="1" hidden="1">
      <c r="A15" s="38"/>
      <c r="B15" s="39" t="s">
        <v>18</v>
      </c>
      <c r="C15" s="40"/>
      <c r="D15" s="75">
        <f t="shared" si="3"/>
        <v>94.59422070081901</v>
      </c>
      <c r="E15" s="42"/>
      <c r="F15" s="42"/>
      <c r="G15" s="45">
        <f>Январь!G15+Февраль!G15+Март!G15+Апрель!G15+Май!G15+Июнь!G15+'Июль 1'!G15+Август!G15+Сентябрь!G15+Октябрь!G15+Ноябрь!G15+Декабрь!G15</f>
        <v>94.59422070081901</v>
      </c>
      <c r="H15" s="42"/>
      <c r="I15" s="42"/>
      <c r="J15" s="107"/>
      <c r="K15" s="257"/>
      <c r="L15" s="13"/>
      <c r="M15" s="13"/>
      <c r="N15" s="13">
        <v>1306.63</v>
      </c>
      <c r="O15" s="13"/>
      <c r="P15" s="13"/>
      <c r="Q15" s="235"/>
      <c r="R15" s="228">
        <f t="shared" si="4"/>
        <v>120003.55000000002</v>
      </c>
      <c r="S15" s="184"/>
      <c r="T15" s="184"/>
      <c r="U15" s="182">
        <f>Январь!U15+Февраль!U15+Март!U15+Апрель!U15+Май!U15+Июнь!U15+'Июль 1'!U15+Август!U15+Сентябрь!U15+Октябрь!U15+Ноябрь!U15+Декабрь!U15</f>
        <v>120003.55000000002</v>
      </c>
      <c r="V15" s="184"/>
      <c r="W15" s="184"/>
      <c r="X15" s="184"/>
      <c r="Y15" s="64">
        <f t="shared" si="5"/>
        <v>97.12275102952731</v>
      </c>
      <c r="Z15" s="42"/>
      <c r="AA15" s="42"/>
      <c r="AB15" s="45">
        <f>Январь!AB15+Февраль!AB15+Март!AB15+Апрель!AB15+Май!AB15+Июнь!AB15+'Июль 1'!AB15+Август!AB15+Сентябрь!AB15+Октябрь!AB15+Ноябрь!AB15+Декабрь!AB15</f>
        <v>97.12275102952731</v>
      </c>
      <c r="AC15" s="42"/>
      <c r="AD15" s="42"/>
      <c r="AE15" s="42"/>
      <c r="AF15" s="14">
        <f>AI15</f>
        <v>1306.63</v>
      </c>
      <c r="AG15" s="13"/>
      <c r="AH15" s="13"/>
      <c r="AI15" s="13">
        <v>1306.63</v>
      </c>
      <c r="AJ15" s="13"/>
      <c r="AK15" s="13"/>
      <c r="AL15" s="13"/>
      <c r="AM15" s="14">
        <f t="shared" si="6"/>
        <v>123307.77000000003</v>
      </c>
      <c r="AN15" s="184"/>
      <c r="AO15" s="184"/>
      <c r="AP15" s="182">
        <f>Январь!AP15+Февраль!AP15+Март!AP15+Апрель!AP15+Май!AP15+Июнь!AP15+'Июль 1'!AP15+Август!AP15+Сентябрь!AP15+Октябрь!AP15+Ноябрь!AP15+Декабрь!AP15</f>
        <v>123307.77000000003</v>
      </c>
      <c r="AQ15" s="184"/>
      <c r="AR15" s="184"/>
      <c r="AS15" s="184"/>
      <c r="AT15" s="14">
        <f t="shared" si="7"/>
        <v>0</v>
      </c>
      <c r="AU15" s="37"/>
      <c r="AV15" s="37"/>
      <c r="AW15" s="37">
        <f>(N15-AI15)*G15</f>
        <v>0</v>
      </c>
      <c r="AX15" s="37"/>
      <c r="AY15" s="37"/>
      <c r="AZ15" s="13"/>
    </row>
    <row r="16" spans="1:52" ht="56.25" customHeight="1">
      <c r="A16" s="9"/>
      <c r="B16" s="43" t="s">
        <v>41</v>
      </c>
      <c r="C16" s="32"/>
      <c r="D16" s="44">
        <f t="shared" si="3"/>
        <v>22342.744870000002</v>
      </c>
      <c r="E16" s="45"/>
      <c r="F16" s="45">
        <f>Январь!F16+Февраль!F16+Март!F16+Апрель!F16+Май!F16+Июнь!F16+'Июль 1'!F16+Август!F16+Сентябрь!F16+Октябрь!F16+Ноябрь!F16+Декабрь!F16</f>
        <v>22342.744870000002</v>
      </c>
      <c r="G16" s="45"/>
      <c r="H16" s="45"/>
      <c r="I16" s="45"/>
      <c r="J16" s="248"/>
      <c r="K16" s="257"/>
      <c r="L16" s="13"/>
      <c r="M16" s="13">
        <v>1306.63</v>
      </c>
      <c r="N16" s="13"/>
      <c r="O16" s="13"/>
      <c r="P16" s="13"/>
      <c r="Q16" s="239"/>
      <c r="R16" s="227">
        <f t="shared" si="4"/>
        <v>33457907.69</v>
      </c>
      <c r="S16" s="182"/>
      <c r="T16" s="182">
        <f>Январь!T16+Февраль!T16+Март!T16+Апрель!T16+Май!T16+Июнь!T16+'Июль 1'!T16+Август!T16+Сентябрь!T16+Октябрь!T16+Ноябрь!T16+Декабрь!T16</f>
        <v>33457907.69</v>
      </c>
      <c r="U16" s="182"/>
      <c r="V16" s="182"/>
      <c r="W16" s="182"/>
      <c r="X16" s="182"/>
      <c r="Y16" s="67">
        <f t="shared" si="5"/>
        <v>22310.623561189772</v>
      </c>
      <c r="Z16" s="45"/>
      <c r="AA16" s="45">
        <f>Январь!AA16+Февраль!AA16+Март!AA16+Апрель!AA16+Май!AA16+Июнь!AA16+'Июль 1'!AA16+Август!AA16+Сентябрь!AA16+Октябрь!AA16+Ноябрь!AA16+Декабрь!AA16</f>
        <v>22310.623561189772</v>
      </c>
      <c r="AB16" s="45"/>
      <c r="AC16" s="45"/>
      <c r="AD16" s="45"/>
      <c r="AE16" s="45"/>
      <c r="AF16" s="14">
        <f>AH16</f>
        <v>1306.63</v>
      </c>
      <c r="AG16" s="13"/>
      <c r="AH16" s="13">
        <v>1306.63</v>
      </c>
      <c r="AI16" s="13"/>
      <c r="AJ16" s="13"/>
      <c r="AK16" s="13"/>
      <c r="AL16" s="37"/>
      <c r="AM16" s="15">
        <f t="shared" si="6"/>
        <v>28258114.49</v>
      </c>
      <c r="AN16" s="182"/>
      <c r="AO16" s="182">
        <f>Январь!AO16+Февраль!AO16+Март!AO16+Апрель!AO16+Май!AO16+Июнь!AO16+'Июль 1'!AO16+Август!AO16+Сентябрь!AO16+Октябрь!AO16+Ноябрь!AO16+Декабрь!AO16</f>
        <v>28258114.49</v>
      </c>
      <c r="AP16" s="182"/>
      <c r="AQ16" s="182"/>
      <c r="AR16" s="182"/>
      <c r="AS16" s="182"/>
      <c r="AT16" s="15">
        <f t="shared" si="7"/>
        <v>0</v>
      </c>
      <c r="AU16" s="37"/>
      <c r="AV16" s="37">
        <f>(M16-AH16)*F16</f>
        <v>0</v>
      </c>
      <c r="AW16" s="37"/>
      <c r="AX16" s="37"/>
      <c r="AY16" s="37"/>
      <c r="AZ16" s="13"/>
    </row>
    <row r="17" spans="1:52" ht="58.5" customHeight="1">
      <c r="A17" s="38">
        <v>36</v>
      </c>
      <c r="B17" s="39" t="s">
        <v>37</v>
      </c>
      <c r="C17" s="106"/>
      <c r="D17" s="75">
        <f>SUM(E17:J17)</f>
        <v>253.06752865665047</v>
      </c>
      <c r="E17" s="42"/>
      <c r="F17" s="42"/>
      <c r="G17" s="76"/>
      <c r="H17" s="42"/>
      <c r="I17" s="107"/>
      <c r="J17" s="248">
        <f>Январь!J17+Февраль!J17+Март!J17+Апрель!J17+Май!J17+Июнь!J17+'Июль 1'!J17+Август!J17+Сентябрь!J17+Октябрь!J17+Ноябрь!J17+Декабрь!J17</f>
        <v>253.06752865665047</v>
      </c>
      <c r="K17" s="257"/>
      <c r="L17" s="13"/>
      <c r="M17" s="13"/>
      <c r="N17" s="13"/>
      <c r="O17" s="13"/>
      <c r="P17" s="109"/>
      <c r="Q17" s="235">
        <v>1163.85</v>
      </c>
      <c r="R17" s="228">
        <f>SUM(S17:X17)</f>
        <v>289475.55000000005</v>
      </c>
      <c r="S17" s="184"/>
      <c r="T17" s="184"/>
      <c r="U17" s="184"/>
      <c r="V17" s="184"/>
      <c r="W17" s="185"/>
      <c r="X17" s="182">
        <f>Январь!X17+Февраль!X17+Март!X17+Апрель!X17+Май!X17+Июнь!X17+'Июль 1'!X17+Август!X17+Сентябрь!X17+Октябрь!X17+Ноябрь!X17+Декабрь!X17</f>
        <v>289475.55000000005</v>
      </c>
      <c r="Y17" s="64">
        <f>AE17</f>
        <v>253.0677198780138</v>
      </c>
      <c r="Z17" s="42"/>
      <c r="AA17" s="42"/>
      <c r="AB17" s="76"/>
      <c r="AC17" s="42"/>
      <c r="AD17" s="107"/>
      <c r="AE17" s="45">
        <f>Январь!AE17+Февраль!AE17+Март!AE17+Апрель!AE17+Май!AE17+Июнь!AE17+'Июль 1'!AE17+Август!AE17+Сентябрь!AE17+Октябрь!AE17+Ноябрь!AE17+Декабрь!AE17</f>
        <v>253.0677198780138</v>
      </c>
      <c r="AF17" s="14">
        <f>AL17</f>
        <v>1200</v>
      </c>
      <c r="AG17" s="13"/>
      <c r="AH17" s="13"/>
      <c r="AI17" s="13"/>
      <c r="AJ17" s="13"/>
      <c r="AK17" s="109"/>
      <c r="AL17" s="109">
        <v>1200</v>
      </c>
      <c r="AM17" s="14">
        <f>AS17</f>
        <v>288079.28</v>
      </c>
      <c r="AN17" s="184"/>
      <c r="AO17" s="184"/>
      <c r="AP17" s="184"/>
      <c r="AQ17" s="184"/>
      <c r="AR17" s="185"/>
      <c r="AS17" s="182">
        <f>Январь!AS17+Февраль!AS17+Март!AS17+Апрель!AS17+Май!AS17+Июнь!AS17+'Июль 1'!AS17+Август!AS17+Сентябрь!AS17+Октябрь!AS17+Ноябрь!AS17+Декабрь!AS17</f>
        <v>288079.28</v>
      </c>
      <c r="AT17" s="14">
        <f>SUM(AU17:AZ17)</f>
        <v>-9148.391160937937</v>
      </c>
      <c r="AU17" s="13"/>
      <c r="AV17" s="13"/>
      <c r="AW17" s="13"/>
      <c r="AX17" s="13"/>
      <c r="AY17" s="13"/>
      <c r="AZ17" s="37">
        <f>(Q17-AL17)*J17</f>
        <v>-9148.391160937937</v>
      </c>
    </row>
    <row r="18" spans="1:52" ht="88.5" customHeight="1" thickBot="1">
      <c r="A18" s="30"/>
      <c r="B18" s="31" t="s">
        <v>38</v>
      </c>
      <c r="D18" s="75">
        <f>SUM(E18:J18)</f>
        <v>1292.2601261822872</v>
      </c>
      <c r="E18" s="56"/>
      <c r="F18" s="56"/>
      <c r="G18" s="102"/>
      <c r="H18" s="56"/>
      <c r="I18" s="103"/>
      <c r="J18" s="248">
        <f>Январь!J18+Февраль!J18+Март!J18+Апрель!J18+Май!J18+Июнь!J18+'Июль 1'!J18+Август!J18+Сентябрь!J18+Октябрь!J18+Ноябрь!J18+Декабрь!J18</f>
        <v>1292.2601261822872</v>
      </c>
      <c r="K18" s="257"/>
      <c r="L18" s="36"/>
      <c r="M18" s="36"/>
      <c r="N18" s="36"/>
      <c r="O18" s="36"/>
      <c r="P18" s="105"/>
      <c r="Q18" s="240">
        <v>1200</v>
      </c>
      <c r="R18" s="228">
        <f>SUM(S18:X18)</f>
        <v>1788506.59</v>
      </c>
      <c r="S18" s="186"/>
      <c r="T18" s="186"/>
      <c r="U18" s="186"/>
      <c r="V18" s="186"/>
      <c r="W18" s="187"/>
      <c r="X18" s="182">
        <f>Январь!X18+Февраль!X18+Март!X18+Апрель!X18+Май!X18+Июнь!X18+'Июль 1'!X18+Август!X18+Сентябрь!X18+Октябрь!X18+Ноябрь!X18+Декабрь!X18</f>
        <v>1788506.59</v>
      </c>
      <c r="Y18" s="62">
        <f>AE18</f>
        <v>1292.2549583095781</v>
      </c>
      <c r="Z18" s="56"/>
      <c r="AA18" s="56"/>
      <c r="AB18" s="102"/>
      <c r="AC18" s="56"/>
      <c r="AD18" s="103"/>
      <c r="AE18" s="45">
        <f>Январь!AE18+Февраль!AE18+Март!AE18+Апрель!AE18+Май!AE18+Июнь!AE18+'Июль 1'!AE18+Август!AE18+Сентябрь!AE18+Октябрь!AE18+Ноябрь!AE18+Декабрь!AE18</f>
        <v>1292.2549583095781</v>
      </c>
      <c r="AF18" s="35">
        <f>AL18</f>
        <v>1163.85</v>
      </c>
      <c r="AG18" s="36"/>
      <c r="AH18" s="36"/>
      <c r="AI18" s="36"/>
      <c r="AJ18" s="36"/>
      <c r="AK18" s="105"/>
      <c r="AL18" s="105">
        <v>1163.85</v>
      </c>
      <c r="AM18" s="35">
        <f>AS18</f>
        <v>1486907.97</v>
      </c>
      <c r="AN18" s="186"/>
      <c r="AO18" s="186"/>
      <c r="AP18" s="186"/>
      <c r="AQ18" s="186"/>
      <c r="AR18" s="187"/>
      <c r="AS18" s="182">
        <f>Январь!AS18+Февраль!AS18+Март!AS18+Апрель!AS18+Май!AS18+Июнь!AS18+'Июль 1'!AS18+Август!AS18+Сентябрь!AS18+Октябрь!AS18+Ноябрь!AS18+Декабрь!AS18</f>
        <v>1486907.97</v>
      </c>
      <c r="AT18" s="57">
        <f>SUM(AU18:AZ18)</f>
        <v>46715.2035614898</v>
      </c>
      <c r="AU18" s="50"/>
      <c r="AV18" s="50"/>
      <c r="AW18" s="50"/>
      <c r="AX18" s="50"/>
      <c r="AY18" s="50"/>
      <c r="AZ18" s="37">
        <f>(Q18-AL18)*J18</f>
        <v>46715.2035614898</v>
      </c>
    </row>
    <row r="19" spans="1:65" s="29" customFormat="1" ht="51" customHeight="1" thickBot="1">
      <c r="A19" s="23">
        <v>2</v>
      </c>
      <c r="B19" s="24" t="s">
        <v>0</v>
      </c>
      <c r="C19" s="58" t="s">
        <v>5</v>
      </c>
      <c r="D19" s="26">
        <f aca="true" t="shared" si="8" ref="D19:J19">SUM(D20:D26)</f>
        <v>254967.21290176467</v>
      </c>
      <c r="E19" s="59">
        <f t="shared" si="8"/>
        <v>7160.835400000001</v>
      </c>
      <c r="F19" s="59">
        <f t="shared" si="8"/>
        <v>115631.7528350289</v>
      </c>
      <c r="G19" s="59">
        <f t="shared" si="8"/>
        <v>74082.1749</v>
      </c>
      <c r="H19" s="59">
        <f t="shared" si="8"/>
        <v>8987.0314</v>
      </c>
      <c r="I19" s="59">
        <f t="shared" si="8"/>
        <v>47567.70807807367</v>
      </c>
      <c r="J19" s="60">
        <f t="shared" si="8"/>
        <v>1537.710288662106</v>
      </c>
      <c r="K19" s="118"/>
      <c r="L19" s="61"/>
      <c r="M19" s="27"/>
      <c r="N19" s="27"/>
      <c r="O19" s="27"/>
      <c r="P19" s="27"/>
      <c r="Q19" s="237"/>
      <c r="R19" s="61">
        <f aca="true" t="shared" si="9" ref="R19:AE19">SUM(R20:R26)</f>
        <v>31914747.389999997</v>
      </c>
      <c r="S19" s="27">
        <f t="shared" si="9"/>
        <v>943362.3799999999</v>
      </c>
      <c r="T19" s="27">
        <f t="shared" si="9"/>
        <v>12921230.249999998</v>
      </c>
      <c r="U19" s="27">
        <f t="shared" si="9"/>
        <v>10276044.77</v>
      </c>
      <c r="V19" s="27">
        <f t="shared" si="9"/>
        <v>1229016.76</v>
      </c>
      <c r="W19" s="27">
        <f t="shared" si="9"/>
        <v>6405444.069999999</v>
      </c>
      <c r="X19" s="27">
        <f t="shared" si="9"/>
        <v>139649.16</v>
      </c>
      <c r="Y19" s="59">
        <f t="shared" si="9"/>
        <v>253374.83097915602</v>
      </c>
      <c r="Z19" s="59">
        <f t="shared" si="9"/>
        <v>7160.827360546214</v>
      </c>
      <c r="AA19" s="59">
        <f t="shared" si="9"/>
        <v>115630.08497580574</v>
      </c>
      <c r="AB19" s="59">
        <f t="shared" si="9"/>
        <v>72772.3391759103</v>
      </c>
      <c r="AC19" s="59">
        <f t="shared" si="9"/>
        <v>8976.549129191062</v>
      </c>
      <c r="AD19" s="59">
        <f t="shared" si="9"/>
        <v>47297.32160828399</v>
      </c>
      <c r="AE19" s="59">
        <f t="shared" si="9"/>
        <v>1537.7087294186772</v>
      </c>
      <c r="AF19" s="28">
        <f>AM19/Y19</f>
        <v>85.2857814507144</v>
      </c>
      <c r="AG19" s="101">
        <f>AG22</f>
        <v>91.01</v>
      </c>
      <c r="AH19" s="101">
        <f>AO19/AA19</f>
        <v>87.72709448516353</v>
      </c>
      <c r="AI19" s="101">
        <f>AP19/AB19</f>
        <v>83.39167310989615</v>
      </c>
      <c r="AJ19" s="101">
        <f>AJ22</f>
        <v>90.44</v>
      </c>
      <c r="AK19" s="27">
        <f>AR19/AD19</f>
        <v>83.55350801318617</v>
      </c>
      <c r="AL19" s="27">
        <f>AL26</f>
        <v>92.66</v>
      </c>
      <c r="AM19" s="27">
        <f aca="true" t="shared" si="10" ref="AM19:AZ19">SUM(AM20:AM26)</f>
        <v>21609270.46</v>
      </c>
      <c r="AN19" s="27">
        <f t="shared" si="10"/>
        <v>589363.54</v>
      </c>
      <c r="AO19" s="27">
        <f t="shared" si="10"/>
        <v>10143891.389999999</v>
      </c>
      <c r="AP19" s="27">
        <f t="shared" si="10"/>
        <v>6068607.12</v>
      </c>
      <c r="AQ19" s="27">
        <f t="shared" si="10"/>
        <v>727692.9</v>
      </c>
      <c r="AR19" s="27">
        <f t="shared" si="10"/>
        <v>3951857.14</v>
      </c>
      <c r="AS19" s="27">
        <f t="shared" si="10"/>
        <v>127858.37000000001</v>
      </c>
      <c r="AT19" s="118">
        <f t="shared" si="10"/>
        <v>33.86902000001733</v>
      </c>
      <c r="AU19" s="27">
        <f t="shared" si="10"/>
        <v>0</v>
      </c>
      <c r="AV19" s="27">
        <f t="shared" si="10"/>
        <v>0</v>
      </c>
      <c r="AW19" s="27">
        <f t="shared" si="10"/>
        <v>33.86902000001733</v>
      </c>
      <c r="AX19" s="27">
        <f t="shared" si="10"/>
        <v>0</v>
      </c>
      <c r="AY19" s="27">
        <f t="shared" si="10"/>
        <v>0</v>
      </c>
      <c r="AZ19" s="27">
        <f t="shared" si="10"/>
        <v>0</v>
      </c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</row>
    <row r="20" spans="1:52" s="4" customFormat="1" ht="41.25" customHeight="1">
      <c r="A20" s="70"/>
      <c r="B20" s="47" t="s">
        <v>24</v>
      </c>
      <c r="C20" s="47"/>
      <c r="D20" s="64">
        <f aca="true" t="shared" si="11" ref="D20:D25">SUM(E20:I20)</f>
        <v>3386.902</v>
      </c>
      <c r="E20" s="69"/>
      <c r="F20" s="98"/>
      <c r="G20" s="45">
        <f>Январь!G20+Февраль!G20+Март!G20+Апрель!G20+Май!G20+Июнь!G20+'Июль 1'!G20+Август!G20+Сентябрь!G20+Октябрь!G20+Ноябрь!G20+Декабрь!G20</f>
        <v>3386.902</v>
      </c>
      <c r="H20" s="69"/>
      <c r="I20" s="69"/>
      <c r="J20" s="96"/>
      <c r="K20" s="257"/>
      <c r="L20" s="50"/>
      <c r="M20" s="73"/>
      <c r="N20" s="142">
        <v>104.39</v>
      </c>
      <c r="O20" s="50"/>
      <c r="P20" s="50"/>
      <c r="Q20" s="241"/>
      <c r="R20" s="230">
        <f aca="true" t="shared" si="12" ref="R20:R25">SUM(S20:W20)</f>
        <v>628244.53</v>
      </c>
      <c r="S20" s="189"/>
      <c r="T20" s="190"/>
      <c r="U20" s="37">
        <f>Январь!U20+Февраль!U20+Март!U20+Апрель!U20+Май!U20+Июнь!U20+'Июль 1'!U20+Август!U20+Сентябрь!U20+Октябрь!U20+Ноябрь!U20+Декабрь!U20</f>
        <v>628244.53</v>
      </c>
      <c r="V20" s="189"/>
      <c r="W20" s="189"/>
      <c r="X20" s="191"/>
      <c r="Y20" s="100">
        <f aca="true" t="shared" si="13" ref="Y20:Y25">SUM(Z20:AD20)</f>
        <v>3386.9040932164503</v>
      </c>
      <c r="Z20" s="193"/>
      <c r="AA20" s="194"/>
      <c r="AB20" s="195">
        <f>Январь!AB20+Февраль!AB20+Март!AB20+Апрель!AB20+Май!AB20+Июнь!AB20+'Июль 1'!AB20+Август!AB20+Сентябрь!AB20+Октябрь!AB20+Ноябрь!AB20+Декабрь!AB20</f>
        <v>3386.9040932164503</v>
      </c>
      <c r="AC20" s="193"/>
      <c r="AD20" s="193"/>
      <c r="AE20" s="138"/>
      <c r="AF20" s="63">
        <f>AI20</f>
        <v>104.38</v>
      </c>
      <c r="AG20" s="73"/>
      <c r="AH20" s="73"/>
      <c r="AI20" s="73">
        <v>104.38</v>
      </c>
      <c r="AJ20" s="73"/>
      <c r="AK20" s="73"/>
      <c r="AL20" s="73"/>
      <c r="AM20" s="63">
        <f aca="true" t="shared" si="14" ref="AM20:AM25">SUM(AN20:AR20)</f>
        <v>301344.83</v>
      </c>
      <c r="AN20" s="189"/>
      <c r="AO20" s="190"/>
      <c r="AP20" s="37">
        <f>Январь!AP20+Февраль!AP20+Март!AP20+Апрель!AP20+Май!AP20+Июнь!AP20+'Июль 1'!AP20+Август!AP20+Сентябрь!AP20+Октябрь!AP20+Ноябрь!AP20+Декабрь!AP20</f>
        <v>301344.83</v>
      </c>
      <c r="AQ20" s="189"/>
      <c r="AR20" s="189"/>
      <c r="AS20" s="191"/>
      <c r="AT20" s="63">
        <f aca="true" t="shared" si="15" ref="AT20:AT25">SUM(AU20:AY20)</f>
        <v>33.86902000001733</v>
      </c>
      <c r="AU20" s="73"/>
      <c r="AV20" s="73"/>
      <c r="AW20" s="37">
        <f>(N20-AI20)*G20</f>
        <v>33.86902000001733</v>
      </c>
      <c r="AX20" s="73"/>
      <c r="AY20" s="73"/>
      <c r="AZ20" s="73"/>
    </row>
    <row r="21" spans="1:52" s="4" customFormat="1" ht="58.5" customHeight="1">
      <c r="A21" s="66"/>
      <c r="B21" s="55" t="s">
        <v>43</v>
      </c>
      <c r="C21" s="47"/>
      <c r="D21" s="62">
        <f t="shared" si="11"/>
        <v>2669.7370000000005</v>
      </c>
      <c r="E21" s="188"/>
      <c r="F21" s="42">
        <f>Январь!F21+Февраль!F21+Март!F21+Апрель!F21+Май!F21+Июнь!F21+'Июль 1'!F21+Август!F21+Сентябрь!F21+Октябрь!F21+Ноябрь!F21+Декабрь!F21</f>
        <v>2669.7370000000005</v>
      </c>
      <c r="G21" s="65"/>
      <c r="H21" s="65"/>
      <c r="I21" s="65"/>
      <c r="J21" s="249"/>
      <c r="K21" s="259"/>
      <c r="L21" s="50"/>
      <c r="M21" s="36">
        <v>83.75</v>
      </c>
      <c r="N21" s="50"/>
      <c r="O21" s="50"/>
      <c r="P21" s="50"/>
      <c r="Q21" s="241"/>
      <c r="R21" s="229">
        <f t="shared" si="12"/>
        <v>263250.9</v>
      </c>
      <c r="S21" s="192"/>
      <c r="T21" s="13">
        <f>Январь!T21+Февраль!T21+Март!T21+Апрель!T21+Май!T21+Июнь!T21+'Июль 1'!T21+Август!T21+Сентябрь!T21+Октябрь!T21+Ноябрь!T21+Декабрь!T21</f>
        <v>263250.9</v>
      </c>
      <c r="U21" s="12"/>
      <c r="V21" s="12"/>
      <c r="W21" s="12"/>
      <c r="X21" s="189"/>
      <c r="Y21" s="62">
        <f t="shared" si="13"/>
        <v>2669.7358530892284</v>
      </c>
      <c r="Z21" s="196"/>
      <c r="AA21" s="197">
        <f>Январь!AA21+Февраль!AA21+Март!AA21+Апрель!AA21+Май!AA21+Июнь!AA21+'Июль 1'!AA21+Август!AA21+Сентябрь!AA21+Октябрь!AA21+Ноябрь!AA21+Декабрь!AA21</f>
        <v>2669.7358530892284</v>
      </c>
      <c r="AB21" s="140"/>
      <c r="AC21" s="140"/>
      <c r="AD21" s="140"/>
      <c r="AE21" s="193"/>
      <c r="AF21" s="14">
        <f>AH21</f>
        <v>83.75</v>
      </c>
      <c r="AG21" s="36"/>
      <c r="AH21" s="36">
        <v>83.75</v>
      </c>
      <c r="AI21" s="36"/>
      <c r="AJ21" s="36"/>
      <c r="AK21" s="36"/>
      <c r="AL21" s="36"/>
      <c r="AM21" s="35">
        <f t="shared" si="14"/>
        <v>207516.36000000002</v>
      </c>
      <c r="AN21" s="192"/>
      <c r="AO21" s="13">
        <f>Январь!AO21+Февраль!AO21+Март!AO21+Апрель!AO21+Май!AO21+Июнь!AO21+'Июль 1'!AO21+Август!AO21+Сентябрь!AO21+Октябрь!AO21+Ноябрь!AO21+Декабрь!AO21</f>
        <v>207516.36000000002</v>
      </c>
      <c r="AP21" s="12"/>
      <c r="AQ21" s="12"/>
      <c r="AR21" s="12"/>
      <c r="AS21" s="189"/>
      <c r="AT21" s="35">
        <f t="shared" si="15"/>
        <v>0</v>
      </c>
      <c r="AU21" s="13"/>
      <c r="AV21" s="13">
        <f>(M21-AH21)*F21</f>
        <v>0</v>
      </c>
      <c r="AW21" s="13"/>
      <c r="AX21" s="13"/>
      <c r="AY21" s="13"/>
      <c r="AZ21" s="36"/>
    </row>
    <row r="22" spans="1:52" ht="40.5" customHeight="1">
      <c r="A22" s="9"/>
      <c r="B22" s="39" t="s">
        <v>35</v>
      </c>
      <c r="C22" s="40"/>
      <c r="D22" s="64">
        <f t="shared" si="11"/>
        <v>133275.73829999997</v>
      </c>
      <c r="E22" s="45">
        <f>Январь!E22+Февраль!E22+Март!E22+Апрель!E22+Май!E22+Июнь!E22+'Июль 1'!E22+Август!E22+Сентябрь!E22+Октябрь!E22+Ноябрь!E22+Декабрь!E22</f>
        <v>7160.835400000001</v>
      </c>
      <c r="F22" s="45">
        <f>Январь!F22+Февраль!F22+Март!F22+Апрель!F22+Май!F22+Июнь!F22+'Июль 1'!F22+Август!F22+Сентябрь!F22+Октябрь!F22+Ноябрь!F22+Декабрь!F22</f>
        <v>4367.8533</v>
      </c>
      <c r="G22" s="45">
        <f>Январь!G22+Февраль!G22+Март!G22+Апрель!G22+Май!G22+Июнь!G22+'Июль 1'!G22+Август!G22+Сентябрь!G22+Октябрь!G22+Ноябрь!G22+Декабрь!G22</f>
        <v>70695.2729</v>
      </c>
      <c r="H22" s="45">
        <f>Январь!H22+Февраль!H22+Март!H22+Апрель!H22+Май!H22+Июнь!H22+'Июль 1'!H22+Август!H22+Сентябрь!H22+Октябрь!H22+Ноябрь!H22+Декабрь!H22</f>
        <v>8987.0314</v>
      </c>
      <c r="I22" s="45">
        <f>Январь!I22+Февраль!I22+Март!I22+Апрель!I22+Май!I22+Июнь!I22+'Июль 1'!I22+Август!I22+Сентябрь!I22+Октябрь!I22+Ноябрь!I22+Декабрь!I22</f>
        <v>42064.745299999995</v>
      </c>
      <c r="J22" s="250"/>
      <c r="K22" s="257"/>
      <c r="L22" s="127">
        <v>91.01</v>
      </c>
      <c r="M22" s="13">
        <v>94.26</v>
      </c>
      <c r="N22" s="13">
        <f>M22</f>
        <v>94.26</v>
      </c>
      <c r="O22" s="13">
        <v>90.44</v>
      </c>
      <c r="P22" s="127">
        <v>94.26</v>
      </c>
      <c r="Q22" s="235"/>
      <c r="R22" s="228">
        <f t="shared" si="12"/>
        <v>18149657.61</v>
      </c>
      <c r="S22" s="37">
        <f>Январь!S22+Февраль!S22+Март!S22+Апрель!S22+Май!S22+Июнь!S22+'Июль 1'!S22+Август!S22+Сентябрь!S22+Октябрь!S22+Ноябрь!S22+Декабрь!S22</f>
        <v>943362.3799999999</v>
      </c>
      <c r="T22" s="37">
        <f>Январь!T22+Февраль!T22+Март!T22+Апрель!T22+Май!T22+Июнь!T22+'Июль 1'!T22+Август!T22+Сентябрь!T22+Октябрь!T22+Ноябрь!T22+Декабрь!T22</f>
        <v>606157.87</v>
      </c>
      <c r="U22" s="37">
        <f>Январь!U22+Февраль!U22+Март!U22+Апрель!U22+Май!U22+Июнь!U22+'Июль 1'!U22+Август!U22+Сентябрь!U22+Октябрь!U22+Ноябрь!U22+Декабрь!U22</f>
        <v>9647800.24</v>
      </c>
      <c r="V22" s="37">
        <f>Январь!V22+Февраль!V22+Март!V22+Апрель!V22+Май!V22+Июнь!V22+'Июль 1'!V22+Август!V22+Сентябрь!V22+Октябрь!V22+Ноябрь!V22+Декабрь!V22</f>
        <v>1229016.76</v>
      </c>
      <c r="W22" s="37">
        <f>Январь!W22+Февраль!W22+Март!W22+Апрель!W22+Май!W22+Июнь!W22+'Июль 1'!W22+Август!W22+Сентябрь!W22+Октябрь!W22+Ноябрь!W22+Декабрь!W22</f>
        <v>5723320.359999999</v>
      </c>
      <c r="X22" s="12"/>
      <c r="Y22" s="64">
        <f t="shared" si="13"/>
        <v>131680.31734710673</v>
      </c>
      <c r="Z22" s="195">
        <f>Январь!Z22+Февраль!Z22+Март!Z22+Апрель!Z22+Май!Z22+Июнь!Z22+'Июль 1'!Z22+Август!Z22+Сентябрь!Z22+Октябрь!Z22+Ноябрь!Z22+Декабрь!Z22</f>
        <v>7160.827360546214</v>
      </c>
      <c r="AA22" s="195">
        <f>Январь!AA22+Февраль!AA22+Март!AA22+Апрель!AA22+Май!AA22+Июнь!AA22+'Июль 1'!AA22+Август!AA22+Сентябрь!AA22+Октябрь!AA22+Ноябрь!AA22+Декабрь!AA22</f>
        <v>4363.147504645005</v>
      </c>
      <c r="AB22" s="195">
        <f>Январь!AB22+Февраль!AB22+Март!AB22+Апрель!AB22+Май!AB22+Июнь!AB22+'Июль 1'!AB22+Август!AB22+Сентябрь!AB22+Октябрь!AB22+Ноябрь!AB22+Декабрь!AB22</f>
        <v>69385.43508269385</v>
      </c>
      <c r="AC22" s="195">
        <f>Январь!AC22+Февраль!AC22+Март!AC22+Апрель!AC22+Май!AC22+Июнь!AC22+'Июль 1'!AC22+Август!AC22+Сентябрь!AC22+Октябрь!AC22+Ноябрь!AC22+Декабрь!AC22</f>
        <v>8976.549129191062</v>
      </c>
      <c r="AD22" s="195">
        <f>Январь!AD22+Февраль!AD22+Март!AD22+Апрель!AD22+Май!AD22+Июнь!AD22+'Июль 1'!AD22+Август!AD22+Сентябрь!AD22+Октябрь!AD22+Ноябрь!AD22+Декабрь!AD22</f>
        <v>41794.35827003059</v>
      </c>
      <c r="AE22" s="140"/>
      <c r="AF22" s="14">
        <f>AM22/Y22</f>
        <v>83.1252570659187</v>
      </c>
      <c r="AG22" s="13">
        <v>91.01</v>
      </c>
      <c r="AH22" s="13">
        <v>94.26</v>
      </c>
      <c r="AI22" s="13">
        <f>AH22</f>
        <v>94.26</v>
      </c>
      <c r="AJ22" s="13">
        <v>90.44</v>
      </c>
      <c r="AK22" s="13">
        <f>AH22</f>
        <v>94.26</v>
      </c>
      <c r="AL22" s="13"/>
      <c r="AM22" s="14">
        <f t="shared" si="14"/>
        <v>10945960.23</v>
      </c>
      <c r="AN22" s="37">
        <f>Январь!AN22+Февраль!AN22+Март!AN22+Апрель!AN22+Май!AN22+Июнь!AN22+'Июль 1'!AN22+Август!AN22+Сентябрь!AN22+Октябрь!AN22+Ноябрь!AN22+Декабрь!AN22</f>
        <v>589363.54</v>
      </c>
      <c r="AO22" s="37">
        <f>Январь!AO22+Февраль!AO22+Март!AO22+Апрель!AO22+Май!AO22+Июнь!AO22+'Июль 1'!AO22+Август!AO22+Сентябрь!AO22+Октябрь!AO22+Ноябрь!AO22+Декабрь!AO22</f>
        <v>360238.46</v>
      </c>
      <c r="AP22" s="37">
        <f>Январь!AP22+Февраль!AP22+Март!AP22+Апрель!AP22+Май!AP22+Июнь!AP22+'Июль 1'!AP22+Август!AP22+Сентябрь!AP22+Октябрь!AP22+Ноябрь!AP22+Декабрь!AP22</f>
        <v>5767262.29</v>
      </c>
      <c r="AQ22" s="37">
        <f>Январь!AQ22+Февраль!AQ22+Март!AQ22+Апрель!AQ22+Май!AQ22+Июнь!AQ22+'Июль 1'!AQ22+Август!AQ22+Сентябрь!AQ22+Октябрь!AQ22+Ноябрь!AQ22+Декабрь!AQ22</f>
        <v>727692.9</v>
      </c>
      <c r="AR22" s="37">
        <f>Январь!AR22+Февраль!AR22+Март!AR22+Апрель!AR22+Май!AR22+Июнь!AR22+'Июль 1'!AR22+Август!AR22+Сентябрь!AR22+Октябрь!AR22+Ноябрь!AR22+Декабрь!AR22</f>
        <v>3501403.04</v>
      </c>
      <c r="AS22" s="12"/>
      <c r="AT22" s="14">
        <f t="shared" si="15"/>
        <v>0</v>
      </c>
      <c r="AU22" s="37">
        <f>(L22-AG22)*E22</f>
        <v>0</v>
      </c>
      <c r="AV22" s="37">
        <f>(M22-AH22)*F22</f>
        <v>0</v>
      </c>
      <c r="AW22" s="37">
        <f>(N22-AI22)*G22</f>
        <v>0</v>
      </c>
      <c r="AX22" s="37">
        <f>(O22-AJ22)*H22</f>
        <v>0</v>
      </c>
      <c r="AY22" s="37">
        <f>(P22-AK22)*I22</f>
        <v>0</v>
      </c>
      <c r="AZ22" s="13"/>
    </row>
    <row r="23" spans="1:52" s="4" customFormat="1" ht="42" customHeight="1">
      <c r="A23" s="66"/>
      <c r="B23" s="39" t="s">
        <v>23</v>
      </c>
      <c r="C23" s="39"/>
      <c r="D23" s="64">
        <f t="shared" si="11"/>
        <v>5856.243</v>
      </c>
      <c r="E23" s="65"/>
      <c r="F23" s="45">
        <f>Январь!F23+Февраль!F23+Март!F23+Апрель!F23+Май!F23+Июнь!F23+'Июль 1'!F23+Август!F23+Сентябрь!F23+Октябрь!F23+Ноябрь!F23+Декабрь!F23</f>
        <v>5856.243</v>
      </c>
      <c r="G23" s="65"/>
      <c r="H23" s="65"/>
      <c r="I23" s="65"/>
      <c r="J23" s="250"/>
      <c r="K23" s="257"/>
      <c r="L23" s="13"/>
      <c r="M23" s="13">
        <v>90.68</v>
      </c>
      <c r="N23" s="13"/>
      <c r="O23" s="13"/>
      <c r="P23" s="13"/>
      <c r="Q23" s="235"/>
      <c r="R23" s="228">
        <f t="shared" si="12"/>
        <v>584126.13</v>
      </c>
      <c r="S23" s="12"/>
      <c r="T23" s="37">
        <f>Январь!T23+Февраль!T23+Март!T23+Апрель!T23+Май!T23+Июнь!T23+'Июль 1'!T23+Август!T23+Сентябрь!T23+Октябрь!T23+Ноябрь!T23+Декабрь!T23</f>
        <v>584126.13</v>
      </c>
      <c r="U23" s="12"/>
      <c r="V23" s="12"/>
      <c r="W23" s="12"/>
      <c r="X23" s="12"/>
      <c r="Y23" s="64">
        <f t="shared" si="13"/>
        <v>5856.2459652704665</v>
      </c>
      <c r="Z23" s="140"/>
      <c r="AA23" s="195">
        <f>Январь!AA23+Февраль!AA23+Март!AA23+Апрель!AA23+Май!AA23+Июнь!AA23+'Июль 1'!AA23+Август!AA23+Сентябрь!AA23+Октябрь!AA23+Ноябрь!AA23+Декабрь!AA23</f>
        <v>5856.2459652704665</v>
      </c>
      <c r="AB23" s="140"/>
      <c r="AC23" s="140"/>
      <c r="AD23" s="140"/>
      <c r="AE23" s="140"/>
      <c r="AF23" s="15">
        <f>AH23</f>
        <v>90.68</v>
      </c>
      <c r="AG23" s="13"/>
      <c r="AH23" s="13">
        <v>90.68</v>
      </c>
      <c r="AI23" s="13"/>
      <c r="AJ23" s="13"/>
      <c r="AK23" s="13"/>
      <c r="AL23" s="13"/>
      <c r="AM23" s="14">
        <f t="shared" si="14"/>
        <v>484946.95</v>
      </c>
      <c r="AN23" s="12"/>
      <c r="AO23" s="37">
        <f>Январь!AO23+Февраль!AO23+Март!AO23+Апрель!AO23+Май!AO23+Июнь!AO23+'Июль 1'!AO23+Август!AO23+Сентябрь!AO23+Октябрь!AO23+Ноябрь!AO23+Декабрь!AO23</f>
        <v>484946.95</v>
      </c>
      <c r="AP23" s="12"/>
      <c r="AQ23" s="12"/>
      <c r="AR23" s="12"/>
      <c r="AS23" s="12"/>
      <c r="AT23" s="14">
        <f t="shared" si="15"/>
        <v>0</v>
      </c>
      <c r="AU23" s="13"/>
      <c r="AV23" s="37">
        <f>(M23-AH23)*F23</f>
        <v>0</v>
      </c>
      <c r="AW23" s="13"/>
      <c r="AX23" s="13"/>
      <c r="AY23" s="13"/>
      <c r="AZ23" s="13"/>
    </row>
    <row r="24" spans="1:52" s="4" customFormat="1" ht="57" customHeight="1">
      <c r="A24" s="66"/>
      <c r="B24" s="43" t="s">
        <v>41</v>
      </c>
      <c r="C24" s="43"/>
      <c r="D24" s="67">
        <f t="shared" si="11"/>
        <v>102737.91953502891</v>
      </c>
      <c r="E24" s="34"/>
      <c r="F24" s="45">
        <f>Январь!F24+Февраль!F24+Март!F24+Апрель!F24+Май!F24+Июнь!F24+'Июль 1'!F24+Август!F24+Сентябрь!F24+Октябрь!F24+Ноябрь!F24+Декабрь!F24</f>
        <v>102737.91953502891</v>
      </c>
      <c r="G24" s="34"/>
      <c r="H24" s="34"/>
      <c r="I24" s="97"/>
      <c r="J24" s="251"/>
      <c r="K24" s="114"/>
      <c r="L24" s="37"/>
      <c r="M24" s="139">
        <v>103.34</v>
      </c>
      <c r="N24" s="37"/>
      <c r="O24" s="37"/>
      <c r="P24" s="37"/>
      <c r="Q24" s="239"/>
      <c r="R24" s="227">
        <f t="shared" si="12"/>
        <v>11467695.349999998</v>
      </c>
      <c r="S24" s="191"/>
      <c r="T24" s="37">
        <f>Январь!T24+Февраль!T24+Март!T24+Апрель!T24+Май!T24+Июнь!T24+'Июль 1'!T24+Август!T24+Сентябрь!T24+Октябрь!T24+Ноябрь!T24+Декабрь!T24</f>
        <v>11467695.349999998</v>
      </c>
      <c r="U24" s="191"/>
      <c r="V24" s="191"/>
      <c r="W24" s="16"/>
      <c r="X24" s="16"/>
      <c r="Y24" s="67">
        <f t="shared" si="13"/>
        <v>102740.95565280104</v>
      </c>
      <c r="Z24" s="138"/>
      <c r="AA24" s="195">
        <f>Январь!AA24+Февраль!AA24+Март!AA24+Апрель!AA24+Май!AA24+Июнь!AA24+'Июль 1'!AA24+Август!AA24+Сентябрь!AA24+Октябрь!AA24+Ноябрь!AA24+Декабрь!AA24</f>
        <v>102740.95565280104</v>
      </c>
      <c r="AB24" s="138"/>
      <c r="AC24" s="138"/>
      <c r="AD24" s="132"/>
      <c r="AE24" s="132"/>
      <c r="AF24" s="15">
        <f>AH24</f>
        <v>103.34</v>
      </c>
      <c r="AG24" s="37"/>
      <c r="AH24" s="37">
        <v>103.34</v>
      </c>
      <c r="AI24" s="37"/>
      <c r="AJ24" s="37"/>
      <c r="AK24" s="37"/>
      <c r="AL24" s="37"/>
      <c r="AM24" s="15">
        <f t="shared" si="14"/>
        <v>9091189.62</v>
      </c>
      <c r="AN24" s="191"/>
      <c r="AO24" s="37">
        <f>Январь!AO24+Февраль!AO24+Март!AO24+Апрель!AO24+Май!AO24+Июнь!AO24+'Июль 1'!AO24+Август!AO24+Сентябрь!AO24+Октябрь!AO24+Ноябрь!AO24+Декабрь!AO24</f>
        <v>9091189.62</v>
      </c>
      <c r="AP24" s="191"/>
      <c r="AQ24" s="191"/>
      <c r="AR24" s="16"/>
      <c r="AS24" s="16"/>
      <c r="AT24" s="15">
        <f t="shared" si="15"/>
        <v>0</v>
      </c>
      <c r="AU24" s="37"/>
      <c r="AV24" s="37">
        <f>(M24-AH24)*F24</f>
        <v>0</v>
      </c>
      <c r="AW24" s="37"/>
      <c r="AX24" s="37"/>
      <c r="AY24" s="37"/>
      <c r="AZ24" s="37"/>
    </row>
    <row r="25" spans="1:52" ht="65.25" customHeight="1">
      <c r="A25" s="9"/>
      <c r="B25" s="39" t="s">
        <v>42</v>
      </c>
      <c r="C25" s="40"/>
      <c r="D25" s="64">
        <f t="shared" si="11"/>
        <v>5502.962778073678</v>
      </c>
      <c r="E25" s="65"/>
      <c r="F25" s="65"/>
      <c r="G25" s="65"/>
      <c r="H25" s="65"/>
      <c r="I25" s="45">
        <f>Январь!I25+Февраль!I25+Март!I25+Апрель!I25+Май!I25+Июнь!I25+'Июль 1'!I25+Август!I25+Сентябрь!I25+Октябрь!I25+Ноябрь!I25+Декабрь!I25</f>
        <v>5502.962778073678</v>
      </c>
      <c r="J25" s="250"/>
      <c r="K25" s="257"/>
      <c r="L25" s="13"/>
      <c r="M25" s="13"/>
      <c r="N25" s="13"/>
      <c r="O25" s="13"/>
      <c r="P25" s="13">
        <v>90.12</v>
      </c>
      <c r="Q25" s="235"/>
      <c r="R25" s="228">
        <f t="shared" si="12"/>
        <v>682123.71</v>
      </c>
      <c r="S25" s="12"/>
      <c r="T25" s="12"/>
      <c r="U25" s="12"/>
      <c r="V25" s="12"/>
      <c r="W25" s="37">
        <f>Январь!W25+Февраль!W25+Март!W25+Апрель!W25+Май!W25+Июнь!W25+'Июль 1'!W25+Август!W25+Сентябрь!W25+Октябрь!W25+Ноябрь!W25+Декабрь!W25</f>
        <v>682123.71</v>
      </c>
      <c r="X25" s="12"/>
      <c r="Y25" s="64">
        <f t="shared" si="13"/>
        <v>5502.963338253404</v>
      </c>
      <c r="Z25" s="140"/>
      <c r="AA25" s="140"/>
      <c r="AB25" s="140"/>
      <c r="AC25" s="140"/>
      <c r="AD25" s="195">
        <f>Январь!AD25+Февраль!AD25+Март!AD25+Апрель!AD25+Май!AD25+Июнь!AD25+'Июль 1'!AD25+Август!AD25+Сентябрь!AD25+Октябрь!AD25+Ноябрь!AD25+Декабрь!AD25</f>
        <v>5502.963338253404</v>
      </c>
      <c r="AE25" s="140"/>
      <c r="AF25" s="14">
        <f>AK25</f>
        <v>90.12</v>
      </c>
      <c r="AG25" s="13"/>
      <c r="AH25" s="13"/>
      <c r="AI25" s="13"/>
      <c r="AJ25" s="13"/>
      <c r="AK25" s="37">
        <v>90.12</v>
      </c>
      <c r="AL25" s="13"/>
      <c r="AM25" s="14">
        <f t="shared" si="14"/>
        <v>450454.0999999999</v>
      </c>
      <c r="AN25" s="12"/>
      <c r="AO25" s="12"/>
      <c r="AP25" s="12"/>
      <c r="AQ25" s="12"/>
      <c r="AR25" s="37">
        <f>Январь!AR25+Февраль!AR25+Март!AR25+Апрель!AR25+Май!AR25+Июнь!AR25+'Июль 1'!AR25+Август!AR25+Сентябрь!AR25+Октябрь!AR25+Ноябрь!AR25+Декабрь!AR25</f>
        <v>450454.0999999999</v>
      </c>
      <c r="AS25" s="12"/>
      <c r="AT25" s="14">
        <f t="shared" si="15"/>
        <v>0</v>
      </c>
      <c r="AU25" s="37"/>
      <c r="AV25" s="37"/>
      <c r="AW25" s="37"/>
      <c r="AX25" s="37"/>
      <c r="AY25" s="37">
        <f>(P25-AK25)*I25</f>
        <v>0</v>
      </c>
      <c r="AZ25" s="13"/>
    </row>
    <row r="26" spans="1:52" ht="58.5" customHeight="1" thickBot="1">
      <c r="A26" s="38">
        <v>36</v>
      </c>
      <c r="B26" s="39" t="s">
        <v>37</v>
      </c>
      <c r="C26" s="106"/>
      <c r="D26" s="62">
        <f>SUM(E26:J26)</f>
        <v>1537.710288662106</v>
      </c>
      <c r="E26" s="42"/>
      <c r="F26" s="42"/>
      <c r="G26" s="76"/>
      <c r="H26" s="42"/>
      <c r="I26" s="107"/>
      <c r="J26" s="248">
        <f>Январь!J26+Февраль!J26+Март!J26+Апрель!J26+Май!J26+Июнь!J26+'Июль 1'!J26+Август!J26+Сентябрь!J26+Октябрь!J26+Ноябрь!J26+Декабрь!J26</f>
        <v>1537.710288662106</v>
      </c>
      <c r="K26" s="258"/>
      <c r="L26" s="108"/>
      <c r="M26" s="13"/>
      <c r="N26" s="13"/>
      <c r="O26" s="13"/>
      <c r="P26" s="13"/>
      <c r="Q26" s="242">
        <v>92.66</v>
      </c>
      <c r="R26" s="231">
        <f>SUM(S26:X26)</f>
        <v>139649.16</v>
      </c>
      <c r="S26" s="13"/>
      <c r="T26" s="13"/>
      <c r="U26" s="13"/>
      <c r="V26" s="13"/>
      <c r="W26" s="109"/>
      <c r="X26" s="37">
        <f>Январь!X26+Февраль!X26+Март!X26+Апрель!X26+Май!X26+Июнь!X26+'Июль 1'!X26+Август!X26+Сентябрь!X26+Октябрь!X26+Ноябрь!X26+Декабрь!X26</f>
        <v>139649.16</v>
      </c>
      <c r="Y26" s="64">
        <f>AE26</f>
        <v>1537.7087294186772</v>
      </c>
      <c r="Z26" s="197"/>
      <c r="AA26" s="197"/>
      <c r="AB26" s="197"/>
      <c r="AC26" s="197"/>
      <c r="AD26" s="198"/>
      <c r="AE26" s="195">
        <f>Январь!AE26+Февраль!AE26+Март!AE26+Апрель!AE26+Май!AE26+Июнь!AE26+'Июль 1'!AE26+Август!AE26+Сентябрь!AE26+Октябрь!AE26+Ноябрь!AE26+Декабрь!AE26</f>
        <v>1537.7087294186772</v>
      </c>
      <c r="AF26" s="14">
        <f>AL26</f>
        <v>92.66</v>
      </c>
      <c r="AG26" s="13"/>
      <c r="AH26" s="13"/>
      <c r="AI26" s="13"/>
      <c r="AJ26" s="13"/>
      <c r="AK26" s="109"/>
      <c r="AL26" s="109">
        <v>92.66</v>
      </c>
      <c r="AM26" s="14">
        <f>AS26</f>
        <v>127858.37000000001</v>
      </c>
      <c r="AN26" s="13"/>
      <c r="AO26" s="13"/>
      <c r="AP26" s="13"/>
      <c r="AQ26" s="13"/>
      <c r="AR26" s="109"/>
      <c r="AS26" s="37">
        <f>Январь!AS26+Февраль!AS26+Март!AS26+Апрель!AS26+Май!AS26+Июнь!AS26+'Июль 1'!AS26+Август!AS26+Сентябрь!AS26+Октябрь!AS26+Ноябрь!AS26+Декабрь!AS26</f>
        <v>127858.37000000001</v>
      </c>
      <c r="AT26" s="57">
        <f>SUM(AU26:AZ26)</f>
        <v>0</v>
      </c>
      <c r="AU26" s="36"/>
      <c r="AV26" s="36"/>
      <c r="AW26" s="36"/>
      <c r="AX26" s="36"/>
      <c r="AY26" s="36"/>
      <c r="AZ26" s="37">
        <f>(Q26-AL26)*J26</f>
        <v>0</v>
      </c>
    </row>
    <row r="27" spans="1:65" s="29" customFormat="1" ht="54" customHeight="1" thickBot="1">
      <c r="A27" s="23">
        <v>3</v>
      </c>
      <c r="B27" s="24" t="s">
        <v>1</v>
      </c>
      <c r="C27" s="24" t="s">
        <v>5</v>
      </c>
      <c r="D27" s="71">
        <f aca="true" t="shared" si="16" ref="D27:J27">SUM(D28:D36)</f>
        <v>878000.2556054463</v>
      </c>
      <c r="E27" s="71">
        <f t="shared" si="16"/>
        <v>107434.38980787704</v>
      </c>
      <c r="F27" s="71">
        <f t="shared" si="16"/>
        <v>363854.6939181366</v>
      </c>
      <c r="G27" s="71">
        <f t="shared" si="16"/>
        <v>176132.07021276598</v>
      </c>
      <c r="H27" s="71">
        <f t="shared" si="16"/>
        <v>118957.48999999999</v>
      </c>
      <c r="I27" s="71">
        <f t="shared" si="16"/>
        <v>99828.41166666668</v>
      </c>
      <c r="J27" s="71">
        <f t="shared" si="16"/>
        <v>11793.199999999999</v>
      </c>
      <c r="K27" s="260"/>
      <c r="L27" s="28"/>
      <c r="M27" s="28"/>
      <c r="N27" s="28"/>
      <c r="O27" s="28"/>
      <c r="P27" s="28"/>
      <c r="Q27" s="237"/>
      <c r="R27" s="232">
        <f aca="true" t="shared" si="17" ref="R27:AE27">SUM(R28:R36)</f>
        <v>19650413.53</v>
      </c>
      <c r="S27" s="28">
        <f t="shared" si="17"/>
        <v>2441696.02</v>
      </c>
      <c r="T27" s="28">
        <f t="shared" si="17"/>
        <v>8837640.75</v>
      </c>
      <c r="U27" s="28">
        <f t="shared" si="17"/>
        <v>3648694.81</v>
      </c>
      <c r="V27" s="28">
        <f t="shared" si="17"/>
        <v>2429798.6499999994</v>
      </c>
      <c r="W27" s="28">
        <f t="shared" si="17"/>
        <v>2012797.6199999999</v>
      </c>
      <c r="X27" s="28">
        <f t="shared" si="17"/>
        <v>279785.68000000005</v>
      </c>
      <c r="Y27" s="60">
        <f t="shared" si="17"/>
        <v>879227.5929856078</v>
      </c>
      <c r="Z27" s="60">
        <f t="shared" si="17"/>
        <v>106822.4168019705</v>
      </c>
      <c r="AA27" s="60">
        <f t="shared" si="17"/>
        <v>364967.6567424597</v>
      </c>
      <c r="AB27" s="60">
        <f t="shared" si="17"/>
        <v>176359.94572131344</v>
      </c>
      <c r="AC27" s="60">
        <f t="shared" si="17"/>
        <v>120734.58578294887</v>
      </c>
      <c r="AD27" s="60">
        <f t="shared" si="17"/>
        <v>98558.68932224094</v>
      </c>
      <c r="AE27" s="60">
        <f t="shared" si="17"/>
        <v>11784.298614674191</v>
      </c>
      <c r="AF27" s="28">
        <f>AM27/Y27</f>
        <v>20.75207411091643</v>
      </c>
      <c r="AG27" s="101">
        <f>AN27/Z27</f>
        <v>20.160531136384794</v>
      </c>
      <c r="AH27" s="101">
        <f>AO27/AA27</f>
        <v>21.59839471902152</v>
      </c>
      <c r="AI27" s="101">
        <f>AP27/AB27</f>
        <v>20.42129779111602</v>
      </c>
      <c r="AJ27" s="101">
        <f>AJ32</f>
        <v>20.91</v>
      </c>
      <c r="AK27" s="27">
        <f>AR27/AD27</f>
        <v>19.562218138841644</v>
      </c>
      <c r="AL27" s="101">
        <f>AL33</f>
        <v>19.49</v>
      </c>
      <c r="AM27" s="101">
        <f aca="true" t="shared" si="18" ref="AM27:AZ27">SUM(AM28:AM36)</f>
        <v>18245796.169999998</v>
      </c>
      <c r="AN27" s="119">
        <f t="shared" si="18"/>
        <v>2153596.66</v>
      </c>
      <c r="AO27" s="119">
        <f t="shared" si="18"/>
        <v>7882715.51</v>
      </c>
      <c r="AP27" s="119">
        <f t="shared" si="18"/>
        <v>3601498.9699999997</v>
      </c>
      <c r="AQ27" s="119">
        <f t="shared" si="18"/>
        <v>2450282.4699999997</v>
      </c>
      <c r="AR27" s="119">
        <f t="shared" si="18"/>
        <v>1928026.5799999998</v>
      </c>
      <c r="AS27" s="119">
        <f t="shared" si="18"/>
        <v>229675.98</v>
      </c>
      <c r="AT27" s="118">
        <f t="shared" si="18"/>
        <v>0</v>
      </c>
      <c r="AU27" s="28">
        <f t="shared" si="18"/>
        <v>0</v>
      </c>
      <c r="AV27" s="28">
        <f t="shared" si="18"/>
        <v>0</v>
      </c>
      <c r="AW27" s="28">
        <f t="shared" si="18"/>
        <v>0</v>
      </c>
      <c r="AX27" s="28">
        <f t="shared" si="18"/>
        <v>0</v>
      </c>
      <c r="AY27" s="28">
        <f t="shared" si="18"/>
        <v>0</v>
      </c>
      <c r="AZ27" s="28">
        <f t="shared" si="18"/>
        <v>0</v>
      </c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</row>
    <row r="28" spans="1:52" ht="51" customHeight="1">
      <c r="A28" s="74"/>
      <c r="B28" s="47" t="s">
        <v>20</v>
      </c>
      <c r="C28" s="32"/>
      <c r="D28" s="75">
        <f aca="true" t="shared" si="19" ref="D28:D36">SUM(E28:J28)</f>
        <v>1703.8298078770417</v>
      </c>
      <c r="E28" s="195">
        <f>Январь!E28+Февраль!E28+Март!E28+Апрель!E28+Май!E28+Июнь!E28+'Июль 1'!E28+Август!E28+Сентябрь!E28+Октябрь!E28+Ноябрь!E28+Декабрь!E28</f>
        <v>1703.8298078770417</v>
      </c>
      <c r="F28" s="76"/>
      <c r="G28" s="76"/>
      <c r="H28" s="76"/>
      <c r="I28" s="76"/>
      <c r="J28" s="252"/>
      <c r="K28" s="257"/>
      <c r="L28" s="37">
        <v>20.82</v>
      </c>
      <c r="M28" s="36"/>
      <c r="N28" s="36"/>
      <c r="O28" s="37"/>
      <c r="P28" s="37"/>
      <c r="Q28" s="239"/>
      <c r="R28" s="228">
        <f aca="true" t="shared" si="20" ref="R28:R36">SUM(S28:X28)</f>
        <v>48208.149999999994</v>
      </c>
      <c r="S28" s="37">
        <f>Январь!S28+Февраль!S28+Март!S28+Апрель!S28+Май!S28+Июнь!S28+'Июль 1'!S28+Август!S28+Сентябрь!S28+Октябрь!S28+Ноябрь!S28+Декабрь!S28</f>
        <v>48208.149999999994</v>
      </c>
      <c r="T28" s="13"/>
      <c r="U28" s="13"/>
      <c r="V28" s="13"/>
      <c r="W28" s="13"/>
      <c r="X28" s="13"/>
      <c r="Y28" s="64">
        <f>SUM(Z28:AD28)</f>
        <v>1703.836577240563</v>
      </c>
      <c r="Z28" s="195">
        <f>Январь!Z28+Февраль!Z28+Март!Z28+Апрель!Z28+Май!Z28+Июнь!Z28+'Июль 1'!Z28+Август!Z28+Сентябрь!Z28+Октябрь!Z28+Ноябрь!Z28+Декабрь!Z28</f>
        <v>1703.836577240563</v>
      </c>
      <c r="AA28" s="197"/>
      <c r="AB28" s="197"/>
      <c r="AC28" s="197"/>
      <c r="AD28" s="197"/>
      <c r="AE28" s="197"/>
      <c r="AF28" s="14">
        <f>AG28</f>
        <v>20.82</v>
      </c>
      <c r="AG28" s="13">
        <v>20.82</v>
      </c>
      <c r="AH28" s="13"/>
      <c r="AI28" s="13"/>
      <c r="AJ28" s="13"/>
      <c r="AK28" s="13"/>
      <c r="AL28" s="13"/>
      <c r="AM28" s="14">
        <f>SUM(AN28:AR28)</f>
        <v>34432.04</v>
      </c>
      <c r="AN28" s="37">
        <f>Январь!AN28+Февраль!AN28+Март!AN28+Апрель!AN28+Май!AN28+Июнь!AN28+'Июль 1'!AN28+Август!AN28+Сентябрь!AN28+Октябрь!AN28+Ноябрь!AN28+Декабрь!AN28</f>
        <v>34432.04</v>
      </c>
      <c r="AO28" s="13"/>
      <c r="AP28" s="13"/>
      <c r="AQ28" s="13"/>
      <c r="AR28" s="13"/>
      <c r="AS28" s="13"/>
      <c r="AT28" s="14">
        <f>SUM(AU28:AY28)</f>
        <v>0</v>
      </c>
      <c r="AU28" s="37">
        <f>(L28-AG28)*E28</f>
        <v>0</v>
      </c>
      <c r="AV28" s="37"/>
      <c r="AW28" s="37"/>
      <c r="AX28" s="37"/>
      <c r="AY28" s="37"/>
      <c r="AZ28" s="13"/>
    </row>
    <row r="29" spans="1:52" ht="54" customHeight="1">
      <c r="A29" s="74"/>
      <c r="B29" s="47" t="s">
        <v>21</v>
      </c>
      <c r="C29" s="48"/>
      <c r="D29" s="75">
        <f t="shared" si="19"/>
        <v>4880.130212765957</v>
      </c>
      <c r="E29" s="76"/>
      <c r="F29" s="76"/>
      <c r="G29" s="195">
        <f>Январь!G29+Февраль!G29+Март!G29+Апрель!G29+Май!G29+Июнь!G29+'Июль 1'!G29+Август!G29+Сентябрь!G29+Октябрь!G29+Ноябрь!G29+Декабрь!G29</f>
        <v>4880.130212765957</v>
      </c>
      <c r="H29" s="76"/>
      <c r="I29" s="76"/>
      <c r="J29" s="252"/>
      <c r="K29" s="257"/>
      <c r="L29" s="37"/>
      <c r="M29" s="13"/>
      <c r="N29" s="50">
        <v>23.5</v>
      </c>
      <c r="O29" s="37"/>
      <c r="P29" s="37"/>
      <c r="Q29" s="239"/>
      <c r="R29" s="228">
        <f t="shared" si="20"/>
        <v>139587.9</v>
      </c>
      <c r="S29" s="13"/>
      <c r="T29" s="13"/>
      <c r="U29" s="37">
        <f>Январь!U29+Февраль!U29+Март!U29+Апрель!U29+Май!U29+Июнь!U29+'Июль 1'!U29+Август!U29+Сентябрь!U29+Октябрь!U29+Ноябрь!U29+Декабрь!U29</f>
        <v>139587.9</v>
      </c>
      <c r="V29" s="13"/>
      <c r="W29" s="13"/>
      <c r="X29" s="13"/>
      <c r="Y29" s="67">
        <f>SUM(Z29:AD29)</f>
        <v>4879.899668505915</v>
      </c>
      <c r="Z29" s="197"/>
      <c r="AA29" s="197"/>
      <c r="AB29" s="195">
        <f>Январь!AB29+Февраль!AB29+Март!AB29+Апрель!AB29+Май!AB29+Июнь!AB29+'Июль 1'!AB29+Август!AB29+Сентябрь!AB29+Октябрь!AB29+Ноябрь!AB29+Декабрь!AB29</f>
        <v>4879.899668505915</v>
      </c>
      <c r="AC29" s="197"/>
      <c r="AD29" s="197"/>
      <c r="AE29" s="197"/>
      <c r="AF29" s="14">
        <f>AI29</f>
        <v>23.5</v>
      </c>
      <c r="AG29" s="13"/>
      <c r="AH29" s="13"/>
      <c r="AI29" s="13">
        <v>23.5</v>
      </c>
      <c r="AJ29" s="13"/>
      <c r="AK29" s="13"/>
      <c r="AL29" s="37"/>
      <c r="AM29" s="15">
        <f>SUM(AN29:AR29)</f>
        <v>105744.73</v>
      </c>
      <c r="AN29" s="13"/>
      <c r="AO29" s="13"/>
      <c r="AP29" s="37">
        <f>Январь!AP29+Февраль!AP29+Март!AP29+Апрель!AP29+Май!AP29+Июнь!AP29+'Июль 1'!AP29+Август!AP29+Сентябрь!AP29+Октябрь!AP29+Ноябрь!AP29+Декабрь!AP29</f>
        <v>105744.73</v>
      </c>
      <c r="AQ29" s="13"/>
      <c r="AR29" s="13"/>
      <c r="AS29" s="13"/>
      <c r="AT29" s="14">
        <f>SUM(AU29:AY29)</f>
        <v>0</v>
      </c>
      <c r="AU29" s="37"/>
      <c r="AV29" s="37"/>
      <c r="AW29" s="37">
        <f>(N29-AI29)*G29</f>
        <v>0</v>
      </c>
      <c r="AX29" s="37"/>
      <c r="AY29" s="37"/>
      <c r="AZ29" s="13"/>
    </row>
    <row r="30" spans="1:52" ht="59.25" customHeight="1">
      <c r="A30" s="38"/>
      <c r="B30" s="54" t="s">
        <v>39</v>
      </c>
      <c r="C30" s="40"/>
      <c r="D30" s="75">
        <f t="shared" si="19"/>
        <v>96738.51991813659</v>
      </c>
      <c r="E30" s="76"/>
      <c r="F30" s="195">
        <f>Январь!F30+Февраль!F30+Март!F30+Апрель!F30+Май!F30+Июнь!F30+'Июль 1'!F30+Август!F30+Сентябрь!F30+Октябрь!F30+Ноябрь!F30+Декабрь!F30</f>
        <v>96738.51991813659</v>
      </c>
      <c r="G30" s="76"/>
      <c r="H30" s="76"/>
      <c r="I30" s="76"/>
      <c r="J30" s="252"/>
      <c r="K30" s="257"/>
      <c r="L30" s="13"/>
      <c r="M30" s="37">
        <v>23.4</v>
      </c>
      <c r="N30" s="13"/>
      <c r="O30" s="37"/>
      <c r="P30" s="37"/>
      <c r="Q30" s="239"/>
      <c r="R30" s="228">
        <f t="shared" si="20"/>
        <v>2201053.7300000004</v>
      </c>
      <c r="S30" s="13"/>
      <c r="T30" s="37">
        <f>Январь!T30+Февраль!T30+Март!T30+Апрель!T30+Май!T30+Июнь!T30+'Июль 1'!T30+Август!T30+Сентябрь!T30+Октябрь!T30+Ноябрь!T30+Декабрь!T30</f>
        <v>2201053.7300000004</v>
      </c>
      <c r="U30" s="13"/>
      <c r="V30" s="13"/>
      <c r="W30" s="13"/>
      <c r="X30" s="13"/>
      <c r="Y30" s="67">
        <f>SUM(Z30:AD30)</f>
        <v>96749.28289120171</v>
      </c>
      <c r="Z30" s="197"/>
      <c r="AA30" s="195">
        <f>Январь!AA30+Февраль!AA30+Март!AA30+Апрель!AA30+Май!AA30+Июнь!AA30+'Июль 1'!AA30+Август!AA30+Сентябрь!AA30+Октябрь!AA30+Ноябрь!AA30+Декабрь!AA30</f>
        <v>96749.28289120171</v>
      </c>
      <c r="AB30" s="197"/>
      <c r="AC30" s="197"/>
      <c r="AD30" s="197"/>
      <c r="AE30" s="197"/>
      <c r="AF30" s="14">
        <f>AH30</f>
        <v>23.4</v>
      </c>
      <c r="AG30" s="37"/>
      <c r="AH30" s="37">
        <v>23.4</v>
      </c>
      <c r="AI30" s="37"/>
      <c r="AJ30" s="37"/>
      <c r="AK30" s="37"/>
      <c r="AL30" s="37"/>
      <c r="AM30" s="15">
        <f>SUM(AN30:AR30)</f>
        <v>2082233.6500000001</v>
      </c>
      <c r="AN30" s="13"/>
      <c r="AO30" s="37">
        <f>Январь!AO30+Февраль!AO30+Март!AO30+Апрель!AO30+Май!AO30+Июнь!AO30+'Июль 1'!AO30+Август!AO30+Сентябрь!AO30+Октябрь!AO30+Ноябрь!AO30+Декабрь!AO30</f>
        <v>2082233.6500000001</v>
      </c>
      <c r="AP30" s="13"/>
      <c r="AQ30" s="13"/>
      <c r="AR30" s="13"/>
      <c r="AS30" s="13"/>
      <c r="AT30" s="15">
        <f>SUM(AU30:AY30)</f>
        <v>0</v>
      </c>
      <c r="AU30" s="37"/>
      <c r="AV30" s="37">
        <f>(M30-AH30)*F30</f>
        <v>0</v>
      </c>
      <c r="AW30" s="37"/>
      <c r="AX30" s="37"/>
      <c r="AY30" s="37"/>
      <c r="AZ30" s="13"/>
    </row>
    <row r="31" spans="1:52" ht="35.25" customHeight="1">
      <c r="A31" s="38"/>
      <c r="B31" s="39" t="s">
        <v>22</v>
      </c>
      <c r="C31" s="40"/>
      <c r="D31" s="75">
        <f t="shared" si="19"/>
        <v>1438.8000000000002</v>
      </c>
      <c r="E31" s="76"/>
      <c r="F31" s="76"/>
      <c r="G31" s="195">
        <f>Январь!G31+Февраль!G31+Март!G31+Апрель!G31+Май!G31+Июнь!G31+'Июль 1'!G31+Август!G31+Сентябрь!G31+Октябрь!G31+Ноябрь!G31+Декабрь!G31</f>
        <v>1438.8000000000002</v>
      </c>
      <c r="H31" s="76"/>
      <c r="I31" s="76"/>
      <c r="J31" s="252"/>
      <c r="K31" s="257"/>
      <c r="L31" s="13"/>
      <c r="M31" s="122"/>
      <c r="N31" s="13">
        <v>28.96</v>
      </c>
      <c r="O31" s="13"/>
      <c r="P31" s="13"/>
      <c r="Q31" s="235"/>
      <c r="R31" s="228">
        <f t="shared" si="20"/>
        <v>40882.68000000001</v>
      </c>
      <c r="S31" s="13"/>
      <c r="T31" s="13"/>
      <c r="U31" s="37">
        <f>Январь!U31+Февраль!U31+Март!U31+Апрель!U31+Май!U31+Июнь!U31+'Июль 1'!U31+Август!U31+Сентябрь!U31+Октябрь!U31+Ноябрь!U31+Декабрь!U31</f>
        <v>40882.68000000001</v>
      </c>
      <c r="V31" s="13"/>
      <c r="W31" s="13"/>
      <c r="X31" s="13"/>
      <c r="Y31" s="64">
        <f>SUM(Z31:AD31)</f>
        <v>1322.108622631306</v>
      </c>
      <c r="Z31" s="197"/>
      <c r="AA31" s="197"/>
      <c r="AB31" s="195">
        <f>Январь!AB31+Февраль!AB31+Март!AB31+Апрель!AB31+Май!AB31+Июнь!AB31+'Июль 1'!AB31+Август!AB31+Сентябрь!AB31+Октябрь!AB31+Ноябрь!AB31+Декабрь!AB31</f>
        <v>1322.108622631306</v>
      </c>
      <c r="AC31" s="197"/>
      <c r="AD31" s="197"/>
      <c r="AE31" s="197"/>
      <c r="AF31" s="14">
        <f>AI31</f>
        <v>28.96</v>
      </c>
      <c r="AG31" s="13"/>
      <c r="AH31" s="13"/>
      <c r="AI31" s="13">
        <v>28.96</v>
      </c>
      <c r="AJ31" s="13"/>
      <c r="AK31" s="13"/>
      <c r="AL31" s="13"/>
      <c r="AM31" s="14">
        <f>SUM(AN31:AR31)</f>
        <v>31990.280000000002</v>
      </c>
      <c r="AN31" s="13"/>
      <c r="AO31" s="13"/>
      <c r="AP31" s="37">
        <f>Январь!AP31+Февраль!AP31+Март!AP31+Апрель!AP31+Май!AP31+Июнь!AP31+'Июль 1'!AP31+Август!AP31+Сентябрь!AP31+Октябрь!AP31+Ноябрь!AP31+Декабрь!AP31</f>
        <v>31990.280000000002</v>
      </c>
      <c r="AQ31" s="13"/>
      <c r="AR31" s="13"/>
      <c r="AS31" s="13"/>
      <c r="AT31" s="15">
        <f>SUM(AU31:AY31)</f>
        <v>0</v>
      </c>
      <c r="AU31" s="37"/>
      <c r="AV31" s="37"/>
      <c r="AW31" s="37">
        <f>(N31-AI31)*G31</f>
        <v>0</v>
      </c>
      <c r="AX31" s="37"/>
      <c r="AY31" s="37"/>
      <c r="AZ31" s="13"/>
    </row>
    <row r="32" spans="1:52" ht="42" customHeight="1">
      <c r="A32" s="9"/>
      <c r="B32" s="43" t="s">
        <v>25</v>
      </c>
      <c r="C32" s="32"/>
      <c r="D32" s="75">
        <f t="shared" si="19"/>
        <v>505199.85</v>
      </c>
      <c r="E32" s="195">
        <f>Январь!E32+Февраль!E32+Март!E32+Апрель!E32+Май!E32+Июнь!E32+'Июль 1'!E32+Август!E32+Сентябрь!E32+Октябрь!E32+Ноябрь!E32+Декабрь!E32</f>
        <v>49376.46</v>
      </c>
      <c r="F32" s="195">
        <f>Январь!F32+Февраль!F32+Март!F32+Апрель!F32+Май!F32+Июнь!F32+'Июль 1'!F32+Август!F32+Сентябрь!F32+Октябрь!F32+Ноябрь!F32+Декабрь!F32</f>
        <v>77368.01999999999</v>
      </c>
      <c r="G32" s="195">
        <f>Январь!G32+Февраль!G32+Март!G32+Апрель!G32+Май!G32+Июнь!G32+'Июль 1'!G32+Август!G32+Сентябрь!G32+Октябрь!G32+Ноябрь!G32+Декабрь!G32</f>
        <v>169813.14</v>
      </c>
      <c r="H32" s="195">
        <f>Январь!H32+Февраль!H32+Март!H32+Апрель!H32+Май!H32+Июнь!H32+'Июль 1'!H32+Август!H32+Сентябрь!H32+Октябрь!H32+Ноябрь!H32+Декабрь!H32</f>
        <v>118957.48999999999</v>
      </c>
      <c r="I32" s="195">
        <f>Январь!I32+Февраль!I32+Март!I32+Апрель!I32+Май!I32+Июнь!I32+'Июль 1'!I32+Август!I32+Сентябрь!I32+Октябрь!I32+Ноябрь!I32+Декабрь!I32</f>
        <v>89684.74000000002</v>
      </c>
      <c r="J32" s="250"/>
      <c r="K32" s="261"/>
      <c r="L32" s="36">
        <v>20.67</v>
      </c>
      <c r="M32" s="36">
        <v>20.91</v>
      </c>
      <c r="N32" s="36">
        <v>20.91</v>
      </c>
      <c r="O32" s="36">
        <v>20.91</v>
      </c>
      <c r="P32" s="36">
        <v>19.49</v>
      </c>
      <c r="Q32" s="240"/>
      <c r="R32" s="228">
        <f t="shared" si="20"/>
        <v>10249938.54</v>
      </c>
      <c r="S32" s="37">
        <f>Январь!S32+Февраль!S32+Март!S32+Апрель!S32+Май!S32+Июнь!S32+'Июль 1'!S32+Август!S32+Сентябрь!S32+Октябрь!S32+Ноябрь!S32+Декабрь!S32</f>
        <v>1002740.5900000001</v>
      </c>
      <c r="T32" s="37">
        <f>Январь!T32+Февраль!T32+Март!T32+Апрель!T32+Май!T32+Июнь!T32+'Июль 1'!T32+Август!T32+Сентябрь!T32+Октябрь!T32+Ноябрь!T32+Декабрь!T32</f>
        <v>1580748.18</v>
      </c>
      <c r="U32" s="37">
        <f>Январь!U32+Февраль!U32+Март!U32+Апрель!U32+Май!U32+Июнь!U32+'Июль 1'!U32+Август!U32+Сентябрь!U32+Октябрь!U32+Ноябрь!U32+Декабрь!U32</f>
        <v>3468224.23</v>
      </c>
      <c r="V32" s="37">
        <f>Январь!V32+Февраль!V32+Март!V32+Апрель!V32+Май!V32+Июнь!V32+'Июль 1'!V32+Август!V32+Сентябрь!V32+Октябрь!V32+Ноябрь!V32+Декабрь!V32</f>
        <v>2429798.6499999994</v>
      </c>
      <c r="W32" s="37">
        <f>Январь!W32+Февраль!W32+Март!W32+Апрель!W32+Май!W32+Июнь!W32+'Июль 1'!W32+Август!W32+Сентябрь!W32+Октябрь!W32+Ноябрь!W32+Декабрь!W32</f>
        <v>1768426.89</v>
      </c>
      <c r="X32" s="12"/>
      <c r="Y32" s="67">
        <f>SUM(Z32:AD32)</f>
        <v>503872.0986714686</v>
      </c>
      <c r="Z32" s="195">
        <f>Январь!Z32+Февраль!Z32+Март!Z32+Апрель!Z32+Май!Z32+Июнь!Z32+'Июль 1'!Z32+Август!Z32+Сентябрь!Z32+Октябрь!Z32+Ноябрь!Z32+Декабрь!Z32</f>
        <v>49017.548236075214</v>
      </c>
      <c r="AA32" s="195">
        <f>Январь!AA32+Февраль!AA32+Март!AA32+Апрель!AA32+Май!AA32+Июнь!AA32+'Июль 1'!AA32+Август!AA32+Сентябрь!AA32+Октябрь!AA32+Ноябрь!AA32+Декабрь!AA32</f>
        <v>77362.4156570352</v>
      </c>
      <c r="AB32" s="195">
        <f>Январь!AB32+Февраль!AB32+Март!AB32+Апрель!AB32+Май!AB32+Июнь!AB32+'Июль 1'!AB32+Август!AB32+Сентябрь!AB32+Октябрь!AB32+Ноябрь!AB32+Декабрь!AB32</f>
        <v>170157.9374301762</v>
      </c>
      <c r="AC32" s="195">
        <f>Январь!AC32+Февраль!AC32+Март!AC32+Апрель!AC32+Май!AC32+Июнь!AC32+'Июль 1'!AC32+Август!AC32+Сентябрь!AC32+Октябрь!AC32+Ноябрь!AC32+Декабрь!AC32</f>
        <v>118919.17939025481</v>
      </c>
      <c r="AD32" s="195">
        <f>Январь!AD32+Февраль!AD32+Март!AD32+Апрель!AD32+Май!AD32+Июнь!AD32+'Июль 1'!AD32+Август!AD32+Сентябрь!AD32+Октябрь!AD32+Ноябрь!AD32+Декабрь!AD32</f>
        <v>88415.01795792714</v>
      </c>
      <c r="AE32" s="140"/>
      <c r="AF32" s="121">
        <f>AM32/Y32</f>
        <v>20.161658259676205</v>
      </c>
      <c r="AG32" s="37">
        <v>20.67</v>
      </c>
      <c r="AH32" s="37">
        <v>20.91</v>
      </c>
      <c r="AI32" s="37">
        <f>AH32</f>
        <v>20.91</v>
      </c>
      <c r="AJ32" s="37">
        <f>AH32</f>
        <v>20.91</v>
      </c>
      <c r="AK32" s="37">
        <v>19.49</v>
      </c>
      <c r="AL32" s="37"/>
      <c r="AM32" s="15">
        <f>SUM(AN32:AS32)</f>
        <v>10158897.059999999</v>
      </c>
      <c r="AN32" s="37">
        <f>Январь!AN32+Февраль!AN32+Март!AN32+Апрель!AN32+Май!AN32+Июнь!AN32+'Июль 1'!AN32+Август!AN32+Сентябрь!AN32+Октябрь!AN32+Ноябрь!AN32+Декабрь!AN32</f>
        <v>988145.45</v>
      </c>
      <c r="AO32" s="37">
        <f>Январь!AO32+Февраль!AO32+Март!AO32+Апрель!AO32+Май!AO32+Июнь!AO32+'Июль 1'!AO32+Август!AO32+Сентябрь!AO32+Октябрь!AO32+Ноябрь!AO32+Декабрь!AO32</f>
        <v>1569278.14</v>
      </c>
      <c r="AP32" s="37">
        <f>Январь!AP32+Февраль!AP32+Март!AP32+Апрель!AP32+Май!AP32+Июнь!AP32+'Июль 1'!AP32+Август!AP32+Сентябрь!AP32+Октябрь!AP32+Ноябрь!AP32+Декабрь!AP32</f>
        <v>3463763.96</v>
      </c>
      <c r="AQ32" s="37">
        <f>Январь!AQ32+Февраль!AQ32+Март!AQ32+Апрель!AQ32+Май!AQ32+Июнь!AQ32+'Июль 1'!AQ32+Август!AQ32+Сентябрь!AQ32+Октябрь!AQ32+Ноябрь!AQ32+Декабрь!AQ32</f>
        <v>2414500.8099999996</v>
      </c>
      <c r="AR32" s="37">
        <f>Январь!AR32+Февраль!AR32+Март!AR32+Апрель!AR32+Май!AR32+Июнь!AR32+'Июль 1'!AR32+Август!AR32+Сентябрь!AR32+Октябрь!AR32+Ноябрь!AR32+Декабрь!AR32</f>
        <v>1723208.7</v>
      </c>
      <c r="AS32" s="12"/>
      <c r="AT32" s="15">
        <f>SUM(AU32:AY32)</f>
        <v>0</v>
      </c>
      <c r="AU32" s="37">
        <f>(L32-AG32)*E32</f>
        <v>0</v>
      </c>
      <c r="AV32" s="37">
        <f>(M32-AH32)*F32</f>
        <v>0</v>
      </c>
      <c r="AW32" s="37">
        <f>(N32-AI32)*G32</f>
        <v>0</v>
      </c>
      <c r="AX32" s="37">
        <f>(O32-AJ32)*H32</f>
        <v>0</v>
      </c>
      <c r="AY32" s="37">
        <f>(P32-AK32)*I32</f>
        <v>0</v>
      </c>
      <c r="AZ32" s="37"/>
    </row>
    <row r="33" spans="1:52" ht="84" customHeight="1">
      <c r="A33" s="74"/>
      <c r="B33" s="31" t="s">
        <v>27</v>
      </c>
      <c r="C33" s="40"/>
      <c r="D33" s="75">
        <f t="shared" si="19"/>
        <v>249674.82000000004</v>
      </c>
      <c r="E33" s="195">
        <f>Январь!E33+Февраль!E33+Март!E33+Апрель!E33+Май!E33+Июнь!E33+'Июль 1'!E33+Август!E33+Сентябрь!E33+Октябрь!E33+Ноябрь!E33+Декабрь!E33</f>
        <v>56354.1</v>
      </c>
      <c r="F33" s="195">
        <f>Январь!F33+Февраль!F33+Март!F33+Апрель!F33+Май!F33+Июнь!F33+'Июль 1'!F33+Август!F33+Сентябрь!F33+Октябрь!F33+Ноябрь!F33+Декабрь!F33</f>
        <v>181527.52000000002</v>
      </c>
      <c r="G33" s="76"/>
      <c r="H33" s="76"/>
      <c r="I33" s="76"/>
      <c r="J33" s="253">
        <f>Январь!J33+Февраль!J33+Март!J33+Апрель!J33+Май!J33+Июнь!J33+'Июль 1'!J33+Август!J33+Сентябрь!J33+Октябрь!J33+Ноябрь!J33+Декабрь!J33</f>
        <v>11793.199999999999</v>
      </c>
      <c r="K33" s="257"/>
      <c r="L33" s="13">
        <v>20.67</v>
      </c>
      <c r="M33" s="13">
        <v>25</v>
      </c>
      <c r="N33" s="13"/>
      <c r="O33" s="13"/>
      <c r="P33" s="13"/>
      <c r="Q33" s="235">
        <v>19.49</v>
      </c>
      <c r="R33" s="228">
        <f t="shared" si="20"/>
        <v>6551142.23</v>
      </c>
      <c r="S33" s="37">
        <f>Январь!S33+Февраль!S33+Март!S33+Апрель!S33+Май!S33+Июнь!S33+'Июль 1'!S33+Август!S33+Сентябрь!S33+Октябрь!S33+Ноябрь!S33+Декабрь!S33</f>
        <v>1390747.28</v>
      </c>
      <c r="T33" s="37">
        <f>Январь!T33+Февраль!T33+Март!T33+Апрель!T33+Май!T33+Июнь!T33+'Июль 1'!T33+Август!T33+Сентябрь!T33+Октябрь!T33+Ноябрь!T33+Декабрь!T33</f>
        <v>4880609.2700000005</v>
      </c>
      <c r="U33" s="13"/>
      <c r="V33" s="13"/>
      <c r="W33" s="13"/>
      <c r="X33" s="37">
        <f>Январь!X33+Февраль!X33+Март!X33+Апрель!X33+Май!X33+Июнь!X33+'Июль 1'!X33+Август!X33+Сентябрь!X33+Октябрь!X33+Ноябрь!X33+Декабрь!X33</f>
        <v>279785.68000000005</v>
      </c>
      <c r="Y33" s="64">
        <f>SUM(Z33:AE33)</f>
        <v>250520.61749203695</v>
      </c>
      <c r="Z33" s="195">
        <f>Январь!Z33+Февраль!Z33+Март!Z33+Апрель!Z33+Май!Z33+Июнь!Z33+'Июль 1'!Z33+Август!Z33+Сентябрь!Z33+Октябрь!Z33+Ноябрь!Z33+Декабрь!Z33</f>
        <v>56101.03198865472</v>
      </c>
      <c r="AA33" s="195">
        <f>Январь!AA33+Февраль!AA33+Март!AA33+Апрель!AA33+Май!AA33+Июнь!AA33+'Июль 1'!AA33+Август!AA33+Сентябрь!AA33+Октябрь!AA33+Ноябрь!AA33+Декабрь!AA33</f>
        <v>182635.28688870804</v>
      </c>
      <c r="AB33" s="197"/>
      <c r="AC33" s="197"/>
      <c r="AD33" s="197"/>
      <c r="AE33" s="195">
        <f>Январь!AE33+Февраль!AE33+Март!AE33+Апрель!AE33+Май!AE33+Июнь!AE33+'Июль 1'!AE33+Август!AE33+Сентябрь!AE33+Октябрь!AE33+Ноябрь!AE33+Декабрь!AE33</f>
        <v>11784.298614674191</v>
      </c>
      <c r="AF33" s="14">
        <f>AM33/Y33</f>
        <v>21.64570355241267</v>
      </c>
      <c r="AG33" s="13">
        <v>20.67</v>
      </c>
      <c r="AH33" s="13">
        <v>25</v>
      </c>
      <c r="AI33" s="13"/>
      <c r="AJ33" s="13"/>
      <c r="AK33" s="13"/>
      <c r="AL33" s="37">
        <v>19.49</v>
      </c>
      <c r="AM33" s="15">
        <f>SUM(AN33:AS33)</f>
        <v>5422695.02</v>
      </c>
      <c r="AN33" s="37">
        <f>Январь!AN33+Февраль!AN33+Март!AN33+Апрель!AN33+Май!AN33+Июнь!AN33+'Июль 1'!AN33+Август!AN33+Сентябрь!AN33+Октябрь!AN33+Ноябрь!AN33+Декабрь!AN33</f>
        <v>1131019.17</v>
      </c>
      <c r="AO33" s="37">
        <f>Январь!AO33+Февраль!AO33+Март!AO33+Апрель!AO33+Май!AO33+Июнь!AO33+'Июль 1'!AO33+Август!AO33+Сентябрь!AO33+Октябрь!AO33+Ноябрь!AO33+Декабрь!AO33</f>
        <v>4061999.8699999996</v>
      </c>
      <c r="AP33" s="13"/>
      <c r="AQ33" s="13"/>
      <c r="AR33" s="13"/>
      <c r="AS33" s="37">
        <f>Январь!AS33+Февраль!AS33+Март!AS33+Апрель!AS33+Май!AS33+Июнь!AS33+'Июль 1'!AS33+Август!AS33+Сентябрь!AS33+Октябрь!AS33+Ноябрь!AS33+Декабрь!AS33</f>
        <v>229675.98</v>
      </c>
      <c r="AT33" s="14">
        <f>SUM(AU33:AZ33)</f>
        <v>0</v>
      </c>
      <c r="AU33" s="37">
        <f>(L33-AG33)*E33</f>
        <v>0</v>
      </c>
      <c r="AV33" s="37">
        <f>(M33-AH33)*F33</f>
        <v>0</v>
      </c>
      <c r="AW33" s="37"/>
      <c r="AX33" s="37"/>
      <c r="AY33" s="37"/>
      <c r="AZ33" s="37">
        <f>(Q33-AL33)*J33</f>
        <v>0</v>
      </c>
    </row>
    <row r="34" spans="1:52" ht="39.75" customHeight="1">
      <c r="A34" s="38"/>
      <c r="B34" s="39" t="s">
        <v>23</v>
      </c>
      <c r="C34" s="40"/>
      <c r="D34" s="75">
        <f t="shared" si="19"/>
        <v>8220.634</v>
      </c>
      <c r="E34" s="76"/>
      <c r="F34" s="195">
        <f>Январь!F34+Февраль!F34+Март!F34+Апрель!F34+Май!F34+Июнь!F34+'Июль 1'!F34+Август!F34+Сентябрь!F34+Октябрь!F34+Ноябрь!F34+Декабрь!F34</f>
        <v>8220.634</v>
      </c>
      <c r="G34" s="76"/>
      <c r="H34" s="76"/>
      <c r="I34" s="76"/>
      <c r="J34" s="252"/>
      <c r="K34" s="257"/>
      <c r="L34" s="13"/>
      <c r="M34" s="13">
        <v>21.56</v>
      </c>
      <c r="N34" s="13"/>
      <c r="O34" s="37"/>
      <c r="P34" s="37"/>
      <c r="Q34" s="239"/>
      <c r="R34" s="228">
        <f t="shared" si="20"/>
        <v>175229.57</v>
      </c>
      <c r="S34" s="13"/>
      <c r="T34" s="37">
        <f>Январь!T34+Февраль!T34+Март!T34+Апрель!T34+Май!T34+Июнь!T34+'Июль 1'!T34+Август!T34+Сентябрь!T34+Октябрь!T34+Ноябрь!T34+Декабрь!T34</f>
        <v>175229.57</v>
      </c>
      <c r="U34" s="13"/>
      <c r="V34" s="13"/>
      <c r="W34" s="13"/>
      <c r="X34" s="13"/>
      <c r="Y34" s="67">
        <f>SUM(Z34:AD34)</f>
        <v>8220.671305514716</v>
      </c>
      <c r="Z34" s="197"/>
      <c r="AA34" s="195">
        <f>Январь!AA34+Февраль!AA34+Март!AA34+Апрель!AA34+Май!AA34+Июнь!AA34+'Июль 1'!AA34+Август!AA34+Сентябрь!AA34+Октябрь!AA34+Ноябрь!AA34+Декабрь!AA34</f>
        <v>8220.671305514716</v>
      </c>
      <c r="AB34" s="197"/>
      <c r="AC34" s="197"/>
      <c r="AD34" s="197"/>
      <c r="AE34" s="197"/>
      <c r="AF34" s="14">
        <f>AH34</f>
        <v>21.56</v>
      </c>
      <c r="AG34" s="37"/>
      <c r="AH34" s="37">
        <v>21.56</v>
      </c>
      <c r="AI34" s="37"/>
      <c r="AJ34" s="37"/>
      <c r="AK34" s="37"/>
      <c r="AL34" s="37"/>
      <c r="AM34" s="15">
        <f>SUM(AN34:AR34)</f>
        <v>169203.84999999998</v>
      </c>
      <c r="AN34" s="13"/>
      <c r="AO34" s="37">
        <f>Январь!AO34+Февраль!AO34+Март!AO34+Апрель!AO34+Май!AO34+Июнь!AO34+'Июль 1'!AO34+Август!AO34+Сентябрь!AO34+Октябрь!AO34+Ноябрь!AO34+Декабрь!AO34</f>
        <v>169203.84999999998</v>
      </c>
      <c r="AP34" s="13"/>
      <c r="AQ34" s="13"/>
      <c r="AR34" s="13"/>
      <c r="AS34" s="13"/>
      <c r="AT34" s="14">
        <f>SUM(AU34:AZ34)</f>
        <v>0</v>
      </c>
      <c r="AU34" s="37"/>
      <c r="AV34" s="37">
        <f>(M34-AH34)*F34</f>
        <v>0</v>
      </c>
      <c r="AW34" s="37"/>
      <c r="AX34" s="37"/>
      <c r="AY34" s="37"/>
      <c r="AZ34" s="13"/>
    </row>
    <row r="35" spans="1:52" ht="39.75" customHeight="1" hidden="1">
      <c r="A35" s="38"/>
      <c r="B35" s="39" t="s">
        <v>44</v>
      </c>
      <c r="C35" s="40"/>
      <c r="D35" s="75">
        <f t="shared" si="19"/>
        <v>0</v>
      </c>
      <c r="E35" s="76"/>
      <c r="F35" s="76"/>
      <c r="G35" s="76"/>
      <c r="H35" s="195"/>
      <c r="I35" s="76"/>
      <c r="J35" s="252"/>
      <c r="K35" s="257"/>
      <c r="L35" s="13"/>
      <c r="M35" s="37"/>
      <c r="N35" s="13"/>
      <c r="O35" s="37"/>
      <c r="P35" s="37"/>
      <c r="Q35" s="239"/>
      <c r="R35" s="228">
        <f t="shared" si="20"/>
        <v>0</v>
      </c>
      <c r="S35" s="13"/>
      <c r="T35" s="13"/>
      <c r="U35" s="13"/>
      <c r="V35" s="37"/>
      <c r="W35" s="13"/>
      <c r="X35" s="13"/>
      <c r="Y35" s="67">
        <f>SUM(Z35:AD35)</f>
        <v>1815.406392694064</v>
      </c>
      <c r="Z35" s="197"/>
      <c r="AA35" s="197"/>
      <c r="AB35" s="197"/>
      <c r="AC35" s="195">
        <f>Январь!AC35+Февраль!AC35+Март!AC35+Апрель!AC35+Май!AC35+Июнь!AC35+'Июль 1'!AC35+Август!AC35+Сентябрь!AC35+Октябрь!AC35+Ноябрь!AC35+Декабрь!AC35</f>
        <v>1815.406392694064</v>
      </c>
      <c r="AD35" s="197"/>
      <c r="AE35" s="197"/>
      <c r="AF35" s="14">
        <f>AJ35</f>
        <v>19.71</v>
      </c>
      <c r="AG35" s="37"/>
      <c r="AH35" s="37"/>
      <c r="AI35" s="37"/>
      <c r="AJ35" s="139">
        <v>19.71</v>
      </c>
      <c r="AK35" s="37"/>
      <c r="AL35" s="37"/>
      <c r="AM35" s="15">
        <f>SUM(AN35:AR35)</f>
        <v>35781.66</v>
      </c>
      <c r="AN35" s="13"/>
      <c r="AO35" s="13"/>
      <c r="AP35" s="13"/>
      <c r="AQ35" s="37">
        <f>Январь!AQ35+Февраль!AQ35+Март!AQ35+Апрель!AQ35+Май!AQ35+Июнь!AQ35+'Июль 1'!AQ35+Август!AQ35+Сентябрь!AQ35+Октябрь!AQ35+Ноябрь!AQ35+Декабрь!AQ35</f>
        <v>35781.66</v>
      </c>
      <c r="AR35" s="13"/>
      <c r="AS35" s="13"/>
      <c r="AT35" s="14">
        <f>SUM(AU35:AZ35)</f>
        <v>0</v>
      </c>
      <c r="AU35" s="37"/>
      <c r="AV35" s="37"/>
      <c r="AW35" s="37"/>
      <c r="AX35" s="37"/>
      <c r="AY35" s="37"/>
      <c r="AZ35" s="13"/>
    </row>
    <row r="36" spans="1:52" ht="43.5" customHeight="1" thickBot="1">
      <c r="A36" s="78"/>
      <c r="B36" s="79" t="s">
        <v>26</v>
      </c>
      <c r="C36" s="80"/>
      <c r="D36" s="75">
        <f t="shared" si="19"/>
        <v>10143.671666666665</v>
      </c>
      <c r="E36" s="81"/>
      <c r="F36" s="81"/>
      <c r="G36" s="81"/>
      <c r="H36" s="81"/>
      <c r="I36" s="195">
        <f>Январь!I36+Февраль!I36+Март!I36+Апрель!I36+Май!I36+Июнь!I36+'Июль 1'!I36+Август!I36+Сентябрь!I36+Октябрь!I36+Ноябрь!I36+Декабрь!I36</f>
        <v>10143.671666666665</v>
      </c>
      <c r="J36" s="96"/>
      <c r="K36" s="262"/>
      <c r="L36" s="83"/>
      <c r="M36" s="83"/>
      <c r="N36" s="83"/>
      <c r="O36" s="83"/>
      <c r="P36" s="84">
        <v>21</v>
      </c>
      <c r="Q36" s="243"/>
      <c r="R36" s="228">
        <f t="shared" si="20"/>
        <v>244370.72999999998</v>
      </c>
      <c r="S36" s="83"/>
      <c r="T36" s="83"/>
      <c r="U36" s="83"/>
      <c r="V36" s="83"/>
      <c r="W36" s="37">
        <f>Январь!W36+Февраль!W36+Март!W36+Апрель!W36+Май!W36+Июнь!W36+'Июль 1'!W36+Август!W36+Сентябрь!W36+Октябрь!W36+Ноябрь!W36+Декабрь!W36</f>
        <v>244370.72999999998</v>
      </c>
      <c r="X36" s="199"/>
      <c r="Y36" s="87">
        <f>SUM(Z36:AD36)</f>
        <v>10143.67136431381</v>
      </c>
      <c r="Z36" s="200"/>
      <c r="AA36" s="200"/>
      <c r="AB36" s="200"/>
      <c r="AC36" s="200"/>
      <c r="AD36" s="195">
        <f>Январь!AD36+Февраль!AD36+Март!AD36+Апрель!AD36+Май!AD36+Июнь!AD36+'Июль 1'!AD36+Август!AD36+Сентябрь!AD36+Октябрь!AD36+Ноябрь!AD36+Декабрь!AD36</f>
        <v>10143.67136431381</v>
      </c>
      <c r="AE36" s="201"/>
      <c r="AF36" s="85">
        <f>AK36</f>
        <v>21</v>
      </c>
      <c r="AG36" s="84"/>
      <c r="AH36" s="84"/>
      <c r="AI36" s="84"/>
      <c r="AJ36" s="84"/>
      <c r="AK36" s="84">
        <v>21</v>
      </c>
      <c r="AL36" s="84"/>
      <c r="AM36" s="86">
        <f>SUM(AN36:AR36)</f>
        <v>204817.87999999998</v>
      </c>
      <c r="AN36" s="83"/>
      <c r="AO36" s="83"/>
      <c r="AP36" s="83"/>
      <c r="AQ36" s="83"/>
      <c r="AR36" s="37">
        <f>Январь!AR36+Февраль!AR36+Март!AR36+Апрель!AR36+Май!AR36+Июнь!AR36+'Июль 1'!AR36+Август!AR36+Сентябрь!AR36+Октябрь!AR36+Ноябрь!AR36+Декабрь!AR36</f>
        <v>204817.87999999998</v>
      </c>
      <c r="AS36" s="199"/>
      <c r="AT36" s="14">
        <f>SUM(AU36:AZ36)</f>
        <v>0</v>
      </c>
      <c r="AU36" s="36"/>
      <c r="AV36" s="36"/>
      <c r="AW36" s="36"/>
      <c r="AX36" s="36"/>
      <c r="AY36" s="37">
        <f>(P36-AK36)*I36</f>
        <v>0</v>
      </c>
      <c r="AZ36" s="50"/>
    </row>
    <row r="37" spans="1:65" s="29" customFormat="1" ht="47.25" customHeight="1" thickBot="1">
      <c r="A37" s="23">
        <v>4</v>
      </c>
      <c r="B37" s="24" t="s">
        <v>3</v>
      </c>
      <c r="C37" s="24" t="s">
        <v>5</v>
      </c>
      <c r="D37" s="27">
        <f aca="true" t="shared" si="21" ref="D37:J37">SUM(D38:D46)</f>
        <v>1090743.3355947286</v>
      </c>
      <c r="E37" s="27">
        <f t="shared" si="21"/>
        <v>110637.83050847458</v>
      </c>
      <c r="F37" s="27">
        <f t="shared" si="21"/>
        <v>467770.00343562383</v>
      </c>
      <c r="G37" s="27">
        <f t="shared" si="21"/>
        <v>245585.67020618555</v>
      </c>
      <c r="H37" s="27">
        <f t="shared" si="21"/>
        <v>120786.46999999999</v>
      </c>
      <c r="I37" s="27">
        <f t="shared" si="21"/>
        <v>145963.36144444445</v>
      </c>
      <c r="J37" s="28">
        <f t="shared" si="21"/>
        <v>0</v>
      </c>
      <c r="K37" s="260"/>
      <c r="L37" s="28"/>
      <c r="M37" s="28"/>
      <c r="N37" s="28"/>
      <c r="O37" s="28"/>
      <c r="P37" s="28"/>
      <c r="Q37" s="237"/>
      <c r="R37" s="61">
        <f aca="true" t="shared" si="22" ref="R37:AE37">SUM(R38:R46)</f>
        <v>25005209.259999998</v>
      </c>
      <c r="S37" s="61">
        <f t="shared" si="22"/>
        <v>2308405.67</v>
      </c>
      <c r="T37" s="61">
        <f t="shared" si="22"/>
        <v>13105281.690000001</v>
      </c>
      <c r="U37" s="61">
        <f t="shared" si="22"/>
        <v>4819556.319999999</v>
      </c>
      <c r="V37" s="61">
        <f t="shared" si="22"/>
        <v>2076166.8399999999</v>
      </c>
      <c r="W37" s="61">
        <f t="shared" si="22"/>
        <v>2695798.7399999998</v>
      </c>
      <c r="X37" s="61">
        <f t="shared" si="22"/>
        <v>0</v>
      </c>
      <c r="Y37" s="59">
        <f t="shared" si="22"/>
        <v>1102832.2480092116</v>
      </c>
      <c r="Z37" s="59">
        <f t="shared" si="22"/>
        <v>113500.98878977103</v>
      </c>
      <c r="AA37" s="59">
        <f t="shared" si="22"/>
        <v>467631.309</v>
      </c>
      <c r="AB37" s="59">
        <f t="shared" si="22"/>
        <v>246072.30352203548</v>
      </c>
      <c r="AC37" s="59">
        <f t="shared" si="22"/>
        <v>126795.63271764466</v>
      </c>
      <c r="AD37" s="59">
        <f t="shared" si="22"/>
        <v>148832.0139797604</v>
      </c>
      <c r="AE37" s="59">
        <f t="shared" si="22"/>
        <v>0</v>
      </c>
      <c r="AF37" s="86">
        <f>AM37/Y37</f>
        <v>18.422774621141016</v>
      </c>
      <c r="AG37" s="101">
        <f>AG40</f>
        <v>17.7</v>
      </c>
      <c r="AH37" s="101">
        <f>AO37/AA37</f>
        <v>19.83219074837438</v>
      </c>
      <c r="AI37" s="101">
        <f>AP37/AB37</f>
        <v>18.18213251130617</v>
      </c>
      <c r="AJ37" s="101">
        <f>AQ37/AC37</f>
        <v>16.232932916415628</v>
      </c>
      <c r="AK37" s="27">
        <f>AK40</f>
        <v>18</v>
      </c>
      <c r="AL37" s="27"/>
      <c r="AM37" s="27">
        <f aca="true" t="shared" si="23" ref="AM37:AZ37">SUM(AM38:AM46)</f>
        <v>20317229.95</v>
      </c>
      <c r="AN37" s="27">
        <f t="shared" si="23"/>
        <v>1974415.89</v>
      </c>
      <c r="AO37" s="27">
        <f t="shared" si="23"/>
        <v>9274153.32</v>
      </c>
      <c r="AP37" s="27">
        <f t="shared" si="23"/>
        <v>4474119.23</v>
      </c>
      <c r="AQ37" s="27">
        <f t="shared" si="23"/>
        <v>2058265.0000000002</v>
      </c>
      <c r="AR37" s="27">
        <f t="shared" si="23"/>
        <v>2536276.51</v>
      </c>
      <c r="AS37" s="27">
        <f t="shared" si="23"/>
        <v>0</v>
      </c>
      <c r="AT37" s="118">
        <f t="shared" si="23"/>
        <v>-1311.5677000002051</v>
      </c>
      <c r="AU37" s="27">
        <f t="shared" si="23"/>
        <v>0</v>
      </c>
      <c r="AV37" s="27">
        <f t="shared" si="23"/>
        <v>0</v>
      </c>
      <c r="AW37" s="27">
        <f t="shared" si="23"/>
        <v>0</v>
      </c>
      <c r="AX37" s="27">
        <f t="shared" si="23"/>
        <v>0</v>
      </c>
      <c r="AY37" s="27">
        <f t="shared" si="23"/>
        <v>-1311.5677000002051</v>
      </c>
      <c r="AZ37" s="27">
        <f t="shared" si="23"/>
        <v>0</v>
      </c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</row>
    <row r="38" spans="1:52" s="4" customFormat="1" ht="56.25" customHeight="1">
      <c r="A38" s="123"/>
      <c r="B38" s="124" t="s">
        <v>39</v>
      </c>
      <c r="C38" s="72"/>
      <c r="D38" s="63">
        <f>SUM(E38:I38)</f>
        <v>171262.47273562386</v>
      </c>
      <c r="E38" s="37"/>
      <c r="F38" s="195">
        <f>Январь!F38+Февраль!F38+Март!F38+Апрель!F38+Май!F38+Июнь!F38+'Июль 1'!F38+Август!F38+Сентябрь!F38+Октябрь!F38+Ноябрь!F38+Декабрь!F38</f>
        <v>171262.47273562386</v>
      </c>
      <c r="G38" s="37"/>
      <c r="H38" s="37"/>
      <c r="I38" s="37"/>
      <c r="J38" s="253"/>
      <c r="K38" s="263"/>
      <c r="L38" s="73"/>
      <c r="M38" s="145">
        <v>26.5</v>
      </c>
      <c r="N38" s="73"/>
      <c r="O38" s="73"/>
      <c r="P38" s="73"/>
      <c r="Q38" s="239"/>
      <c r="R38" s="227">
        <f>SUM(S38:W38)</f>
        <v>5730402.37</v>
      </c>
      <c r="S38" s="37"/>
      <c r="T38" s="37">
        <f>Январь!T38+Февраль!T38+Март!T38+Апрель!T38+Май!T38+Июнь!T38+'Июль 1'!T38+Август!T38+Сентябрь!T38+Октябрь!T38+Ноябрь!T38+Декабрь!T38</f>
        <v>5730402.37</v>
      </c>
      <c r="U38" s="37"/>
      <c r="V38" s="37"/>
      <c r="W38" s="37"/>
      <c r="X38" s="37"/>
      <c r="Y38" s="67">
        <f>SUM(Z38:AD38)</f>
        <v>171355.65800000002</v>
      </c>
      <c r="Z38" s="195"/>
      <c r="AA38" s="195">
        <f>Январь!AA38+Февраль!AA38+Март!AA38+Апрель!AA38+Май!AA38+Июнь!AA38+'Июль 1'!AA38+Август!AA38+Сентябрь!AA38+Октябрь!AA38+Ноябрь!AA38+Декабрь!AA38</f>
        <v>171355.65800000002</v>
      </c>
      <c r="AB38" s="195"/>
      <c r="AC38" s="195"/>
      <c r="AD38" s="195"/>
      <c r="AE38" s="195"/>
      <c r="AF38" s="14">
        <f>AH38</f>
        <v>26.5</v>
      </c>
      <c r="AG38" s="37"/>
      <c r="AH38" s="37">
        <v>26.5</v>
      </c>
      <c r="AI38" s="13"/>
      <c r="AJ38" s="13"/>
      <c r="AK38" s="13"/>
      <c r="AL38" s="37"/>
      <c r="AM38" s="15">
        <f>SUM(AN38:AR38)</f>
        <v>3747760.5700000003</v>
      </c>
      <c r="AN38" s="37"/>
      <c r="AO38" s="37">
        <f>Январь!AO38+Февраль!AO38+Март!AO38+Апрель!AO38+Май!AO38+Июнь!AO38+'Июль 1'!AO38+Август!AO38+Сентябрь!AO38+Октябрь!AO38+Ноябрь!AO38+Декабрь!AO38</f>
        <v>3747760.5700000003</v>
      </c>
      <c r="AP38" s="37"/>
      <c r="AQ38" s="37"/>
      <c r="AR38" s="37"/>
      <c r="AS38" s="37"/>
      <c r="AT38" s="15">
        <f>SUM(AU38:AY38)</f>
        <v>0</v>
      </c>
      <c r="AU38" s="37"/>
      <c r="AV38" s="37">
        <f>(M38-AH38)*F38</f>
        <v>0</v>
      </c>
      <c r="AW38" s="37"/>
      <c r="AX38" s="37"/>
      <c r="AY38" s="37"/>
      <c r="AZ38" s="13"/>
    </row>
    <row r="39" spans="1:52" ht="45.75" customHeight="1">
      <c r="A39" s="38"/>
      <c r="B39" s="39" t="s">
        <v>24</v>
      </c>
      <c r="C39" s="40"/>
      <c r="D39" s="14">
        <f>SUM(E39:I39)</f>
        <v>8267.020206185567</v>
      </c>
      <c r="E39" s="13"/>
      <c r="F39" s="13"/>
      <c r="G39" s="195">
        <f>Январь!G39+Февраль!G39+Март!G39+Апрель!G39+Май!G39+Июнь!G39+'Июль 1'!G39+Август!G39+Сентябрь!G39+Октябрь!G39+Ноябрь!G39+Декабрь!G39</f>
        <v>8267.020206185567</v>
      </c>
      <c r="H39" s="13"/>
      <c r="I39" s="13"/>
      <c r="J39" s="109"/>
      <c r="K39" s="257"/>
      <c r="L39" s="13"/>
      <c r="M39" s="13"/>
      <c r="N39" s="13">
        <v>29.1</v>
      </c>
      <c r="O39" s="13"/>
      <c r="P39" s="13"/>
      <c r="Q39" s="235"/>
      <c r="R39" s="228">
        <f>SUM(S39:W39)</f>
        <v>234888.75999999998</v>
      </c>
      <c r="S39" s="13"/>
      <c r="T39" s="13"/>
      <c r="U39" s="37">
        <f>Январь!U39+Февраль!U39+Март!U39+Апрель!U39+Май!U39+Июнь!U39+'Июль 1'!U39+Август!U39+Сентябрь!U39+Октябрь!U39+Ноябрь!U39+Декабрь!U39</f>
        <v>234888.75999999998</v>
      </c>
      <c r="V39" s="13"/>
      <c r="W39" s="13"/>
      <c r="X39" s="13"/>
      <c r="Y39" s="64">
        <f>SUM(Z39:AD39)</f>
        <v>8266.059272852233</v>
      </c>
      <c r="Z39" s="197"/>
      <c r="AA39" s="197"/>
      <c r="AB39" s="195">
        <f>Январь!AB39+Февраль!AB39+Март!AB39+Апрель!AB39+Май!AB39+Июнь!AB39+'Июль 1'!AB39+Август!AB39+Сентябрь!AB39+Октябрь!AB39+Ноябрь!AB39+Декабрь!AB39</f>
        <v>8266.059272852233</v>
      </c>
      <c r="AC39" s="197"/>
      <c r="AD39" s="197"/>
      <c r="AE39" s="197"/>
      <c r="AF39" s="14">
        <f>AI39</f>
        <v>29.1</v>
      </c>
      <c r="AG39" s="127"/>
      <c r="AH39" s="13"/>
      <c r="AI39" s="127">
        <v>29.1</v>
      </c>
      <c r="AJ39" s="13"/>
      <c r="AK39" s="13"/>
      <c r="AL39" s="13"/>
      <c r="AM39" s="14">
        <f>SUM(AN39:AR39)</f>
        <v>223391.4</v>
      </c>
      <c r="AN39" s="13"/>
      <c r="AO39" s="13"/>
      <c r="AP39" s="37">
        <f>Январь!AP39+Февраль!AP39+Март!AP39+Апрель!AP39+Май!AP39+Июнь!AP39+'Июль 1'!AP39+Август!AP39+Сентябрь!AP39+Октябрь!AP39+Ноябрь!AP39+Декабрь!AP39</f>
        <v>223391.4</v>
      </c>
      <c r="AQ39" s="13"/>
      <c r="AR39" s="13"/>
      <c r="AS39" s="13"/>
      <c r="AT39" s="15">
        <f>SUM(AU39:AY39)</f>
        <v>0</v>
      </c>
      <c r="AU39" s="37"/>
      <c r="AV39" s="37"/>
      <c r="AW39" s="37">
        <f>(N39-AI39)*G39</f>
        <v>0</v>
      </c>
      <c r="AX39" s="37"/>
      <c r="AY39" s="37"/>
      <c r="AZ39" s="13"/>
    </row>
    <row r="40" spans="1:52" ht="46.5" customHeight="1">
      <c r="A40" s="9"/>
      <c r="B40" s="43" t="s">
        <v>25</v>
      </c>
      <c r="C40" s="10"/>
      <c r="D40" s="15">
        <f aca="true" t="shared" si="24" ref="D40:D46">SUM(E40:I40)</f>
        <v>511849.5112649718</v>
      </c>
      <c r="E40" s="195">
        <f>Январь!E40+Февраль!E40+Март!E40+Апрель!E40+Май!E40+Июнь!E40+'Июль 1'!E40+Август!E40+Сентябрь!E40+Октябрь!E40+Ноябрь!E40+Декабрь!E40</f>
        <v>48028.37056497175</v>
      </c>
      <c r="F40" s="195">
        <f>Январь!F40+Февраль!F40+Март!F40+Апрель!F40+Май!F40+Июнь!F40+'Июль 1'!F40+Август!F40+Сентябрь!F40+Октябрь!F40+Ноябрь!F40+Декабрь!F40+7.0007</f>
        <v>17229.0107</v>
      </c>
      <c r="G40" s="195">
        <f>Январь!G40+Февраль!G40+Март!G40+Апрель!G40+Май!G40+Июнь!G40+'Июль 1'!G40+Август!G40+Сентябрь!G40+Октябрь!G40+Ноябрь!G40+Декабрь!G40</f>
        <v>237318.65</v>
      </c>
      <c r="H40" s="195">
        <f>Январь!H40+Февраль!H40+Март!H40+Апрель!H40+Май!H40+Июнь!H40+'Июль 1'!H40+Август!H40+Сентябрь!H40+Октябрь!H40+Ноябрь!H40+Декабрь!H40</f>
        <v>78116.70999999999</v>
      </c>
      <c r="I40" s="195">
        <f>Январь!I40+Февраль!I40+Март!I40+Апрель!I40+Май!I40+Июнь!I40+'Июль 1'!I40+Август!I40+Сентябрь!I40+Октябрь!I40+Ноябрь!I40+Декабрь!I40</f>
        <v>131156.77000000002</v>
      </c>
      <c r="J40" s="96"/>
      <c r="K40" s="261"/>
      <c r="L40" s="37">
        <v>17.7</v>
      </c>
      <c r="M40" s="37">
        <v>19.8</v>
      </c>
      <c r="N40" s="37">
        <f>M40</f>
        <v>19.8</v>
      </c>
      <c r="O40" s="37">
        <f>N40</f>
        <v>19.8</v>
      </c>
      <c r="P40" s="37">
        <v>17.99</v>
      </c>
      <c r="Q40" s="239"/>
      <c r="R40" s="227">
        <f aca="true" t="shared" si="25" ref="R40:R46">SUM(S40:W40)</f>
        <v>9726713.120000001</v>
      </c>
      <c r="S40" s="37">
        <f>Январь!S40+Февраль!S40+Март!S40+Апрель!S40+Май!S40+Июнь!S40+'Июль 1'!S40+Август!S40+Сентябрь!S40+Октябрь!S40+Ноябрь!S40+Декабрь!S40</f>
        <v>879161.28</v>
      </c>
      <c r="T40" s="37">
        <f>Январь!T40+Февраль!T40+Март!T40+Апрель!T40+Май!T40+Июнь!T40+'Июль 1'!T40+Август!T40+Сентябрь!T40+Октябрь!T40+Ноябрь!T40+Декабрь!T40</f>
        <v>333061.99</v>
      </c>
      <c r="U40" s="37">
        <f>Январь!U40+Февраль!U40+Март!U40+Апрель!U40+Май!U40+Июнь!U40+'Июль 1'!U40+Август!U40+Сентябрь!U40+Октябрь!U40+Ноябрь!U40+Декабрь!U40</f>
        <v>4584667.56</v>
      </c>
      <c r="V40" s="37">
        <f>Январь!V40+Февраль!V40+Март!V40+Апрель!V40+Май!V40+Июнь!V40+'Июль 1'!V40+Август!V40+Сентябрь!V40+Октябрь!V40+Ноябрь!V40+Декабрь!V40</f>
        <v>1510552.66</v>
      </c>
      <c r="W40" s="37">
        <f>Январь!W40+Февраль!W40+Март!W40+Апрель!W40+Май!W40+Июнь!W40+'Июль 1'!W40+Август!W40+Сентябрь!W40+Октябрь!W40+Ноябрь!W40+Декабрь!W40</f>
        <v>2419269.63</v>
      </c>
      <c r="X40" s="199"/>
      <c r="Y40" s="67">
        <f aca="true" t="shared" si="26" ref="Y40:Y46">SUM(Z40:AD40)</f>
        <v>518731.90600916755</v>
      </c>
      <c r="Z40" s="195">
        <f>Январь!Z40+Февраль!Z40+Март!Z40+Апрель!Z40+Май!Z40+Июнь!Z40+'Июль 1'!Z40+Август!Z40+Сентябрь!Z40+Октябрь!Z40+Ноябрь!Z40+Декабрь!Z40</f>
        <v>51008.037843195554</v>
      </c>
      <c r="AA40" s="195">
        <f>Январь!AA40+Февраль!AA40+Март!AA40+Апрель!AA40+Май!AA40+Июнь!AA40+'Июль 1'!AA40+Август!AA40+Сентябрь!AA40+Октябрь!AA40+Ноябрь!AA40+Декабрь!AA40</f>
        <v>17016.478</v>
      </c>
      <c r="AB40" s="195">
        <f>Январь!AB40+Февраль!AB40+Март!AB40+Апрель!AB40+Май!AB40+Июнь!AB40+'Июль 1'!AB40+Август!AB40+Сентябрь!AB40+Октябрь!AB40+Ноябрь!AB40+Декабрь!AB40</f>
        <v>237806.24424918325</v>
      </c>
      <c r="AC40" s="195">
        <f>Январь!AC40+Февраль!AC40+Март!AC40+Апрель!AC40+Май!AC40+Июнь!AC40+'Июль 1'!AC40+Август!AC40+Сентябрь!AC40+Октябрь!AC40+Ноябрь!AC40+Декабрь!AC40</f>
        <v>78875.72232736283</v>
      </c>
      <c r="AD40" s="195">
        <f>Январь!AD40+Февраль!AD40+Март!AD40+Апрель!AD40+Май!AD40+Июнь!AD40+'Июль 1'!AD40+Август!AD40+Сентябрь!AD40+Октябрь!AD40+Ноябрь!AD40+Декабрь!AD40</f>
        <v>134025.42358942583</v>
      </c>
      <c r="AE40" s="201"/>
      <c r="AF40" s="15">
        <f>AM40/Y40</f>
        <v>17.644919493034305</v>
      </c>
      <c r="AG40" s="37">
        <v>17.7</v>
      </c>
      <c r="AH40" s="37">
        <v>19.8</v>
      </c>
      <c r="AI40" s="37">
        <f>AH40</f>
        <v>19.8</v>
      </c>
      <c r="AJ40" s="37">
        <f>AH40</f>
        <v>19.8</v>
      </c>
      <c r="AK40" s="37">
        <v>18</v>
      </c>
      <c r="AL40" s="37"/>
      <c r="AM40" s="15">
        <f aca="true" t="shared" si="27" ref="AM40:AM46">SUM(AN40:AR40)</f>
        <v>9152982.719999999</v>
      </c>
      <c r="AN40" s="37">
        <f>Январь!AN40+Февраль!AN40+Март!AN40+Апрель!AN40+Май!AN40+Июнь!AN40+'Июль 1'!AN40+Август!AN40+Сентябрь!AN40+Октябрь!AN40+Ноябрь!AN40+Декабрь!AN40</f>
        <v>887403.8399999999</v>
      </c>
      <c r="AO40" s="37">
        <f>Январь!AO40+Февраль!AO40+Март!AO40+Апрель!AO40+Май!AO40+Июнь!AO40+'Июль 1'!AO40+Август!AO40+Сентябрь!AO40+Октябрь!AO40+Ноябрь!AO40+Декабрь!AO40</f>
        <v>316339.42000000004</v>
      </c>
      <c r="AP40" s="37">
        <f>Январь!AP40+Февраль!AP40+Март!AP40+Апрель!AP40+Май!AP40+Июнь!AP40+'Июль 1'!AP40+Август!AP40+Сентябрь!AP40+Октябрь!AP40+Ноябрь!AP40+Декабрь!AP40</f>
        <v>4250727.83</v>
      </c>
      <c r="AQ40" s="37">
        <f>Январь!AQ40+Февраль!AQ40+Март!AQ40+Апрель!AQ40+Май!AQ40+Июнь!AQ40+'Июль 1'!AQ40+Август!AQ40+Сентябрь!AQ40+Октябрь!AQ40+Ноябрь!AQ40+Декабрь!AQ40</f>
        <v>1414085.8700000003</v>
      </c>
      <c r="AR40" s="37">
        <f>Январь!AR40+Февраль!AR40+Март!AR40+Апрель!AR40+Май!AR40+Июнь!AR40+'Июль 1'!AR40+Август!AR40+Сентябрь!AR40+Октябрь!AR40+Ноябрь!AR40+Декабрь!AR40</f>
        <v>2284425.76</v>
      </c>
      <c r="AS40" s="199"/>
      <c r="AT40" s="15">
        <f aca="true" t="shared" si="28" ref="AT40:AT46">SUM(AU40:AY40)</f>
        <v>-1311.5677000002051</v>
      </c>
      <c r="AU40" s="37">
        <f>(L40-AG40)*E40</f>
        <v>0</v>
      </c>
      <c r="AV40" s="37">
        <f>(M40-AH40)*F40</f>
        <v>0</v>
      </c>
      <c r="AW40" s="37">
        <f>(N40-AI40)*G40</f>
        <v>0</v>
      </c>
      <c r="AX40" s="37">
        <f>(O40-AJ40)*H40</f>
        <v>0</v>
      </c>
      <c r="AY40" s="37">
        <f>(P40-AK40)*I40</f>
        <v>-1311.5677000002051</v>
      </c>
      <c r="AZ40" s="37"/>
    </row>
    <row r="41" spans="1:52" ht="47.25" customHeight="1">
      <c r="A41" s="38"/>
      <c r="B41" s="43" t="s">
        <v>29</v>
      </c>
      <c r="C41" s="10"/>
      <c r="D41" s="15">
        <f t="shared" si="24"/>
        <v>42669.759999999995</v>
      </c>
      <c r="E41" s="13"/>
      <c r="F41" s="13"/>
      <c r="G41" s="13"/>
      <c r="H41" s="195">
        <f>Январь!H41+Февраль!H41+Март!H41+Апрель!H41+Май!H41+Июнь!H41+'Июль 1'!H41+Август!H41+Сентябрь!H41+Октябрь!H41+Ноябрь!H41+Декабрь!H41</f>
        <v>42669.759999999995</v>
      </c>
      <c r="I41" s="13"/>
      <c r="J41" s="109"/>
      <c r="K41" s="257"/>
      <c r="L41" s="37"/>
      <c r="M41" s="37"/>
      <c r="N41" s="37"/>
      <c r="O41" s="37">
        <v>13.58</v>
      </c>
      <c r="P41" s="37"/>
      <c r="Q41" s="239"/>
      <c r="R41" s="227">
        <f t="shared" si="25"/>
        <v>565614.18</v>
      </c>
      <c r="S41" s="13"/>
      <c r="T41" s="13"/>
      <c r="U41" s="13"/>
      <c r="V41" s="37">
        <f>Январь!V41+Февраль!V41+Март!V41+Апрель!V41+Май!V41+Июнь!V41+'Июль 1'!V41+Август!V41+Сентябрь!V41+Октябрь!V41+Ноябрь!V41+Декабрь!V41</f>
        <v>565614.18</v>
      </c>
      <c r="W41" s="13"/>
      <c r="X41" s="13"/>
      <c r="Y41" s="67">
        <f t="shared" si="26"/>
        <v>44294.2548891741</v>
      </c>
      <c r="Z41" s="197"/>
      <c r="AA41" s="197"/>
      <c r="AB41" s="197"/>
      <c r="AC41" s="195">
        <f>Январь!AC41+Февраль!AC41+Март!AC41+Апрель!AC41+Май!AC41+Июнь!AC41+'Июль 1'!AC41+Август!AC41+Сентябрь!AC41+Октябрь!AC41+Ноябрь!AC41+Декабрь!AC41</f>
        <v>44294.2548891741</v>
      </c>
      <c r="AD41" s="197"/>
      <c r="AE41" s="197"/>
      <c r="AF41" s="14">
        <f>AJ41</f>
        <v>13.58</v>
      </c>
      <c r="AG41" s="37"/>
      <c r="AH41" s="37"/>
      <c r="AI41" s="13"/>
      <c r="AJ41" s="13">
        <v>13.58</v>
      </c>
      <c r="AK41" s="13"/>
      <c r="AL41" s="37"/>
      <c r="AM41" s="15">
        <f t="shared" si="27"/>
        <v>582807.7899999999</v>
      </c>
      <c r="AN41" s="13"/>
      <c r="AO41" s="13"/>
      <c r="AP41" s="13"/>
      <c r="AQ41" s="37">
        <f>Январь!AQ41+Февраль!AQ41+Март!AQ41+Апрель!AQ41+Май!AQ41+Июнь!AQ41+'Июль 1'!AQ41+Август!AQ41+Сентябрь!AQ41+Октябрь!AQ41+Ноябрь!AQ41+Декабрь!AQ41</f>
        <v>582807.7899999999</v>
      </c>
      <c r="AR41" s="13"/>
      <c r="AS41" s="13"/>
      <c r="AT41" s="15">
        <f t="shared" si="28"/>
        <v>0</v>
      </c>
      <c r="AU41" s="37"/>
      <c r="AV41" s="37"/>
      <c r="AW41" s="37"/>
      <c r="AX41" s="37"/>
      <c r="AY41" s="37"/>
      <c r="AZ41" s="13"/>
    </row>
    <row r="42" spans="1:52" ht="47.25" customHeight="1" hidden="1">
      <c r="A42" s="38"/>
      <c r="B42" s="43" t="s">
        <v>55</v>
      </c>
      <c r="C42" s="10"/>
      <c r="D42" s="15">
        <f>F42</f>
        <v>0</v>
      </c>
      <c r="E42" s="37"/>
      <c r="F42" s="195"/>
      <c r="G42" s="37"/>
      <c r="H42" s="97"/>
      <c r="I42" s="37"/>
      <c r="J42" s="253"/>
      <c r="K42" s="257"/>
      <c r="L42" s="37"/>
      <c r="M42" s="37">
        <v>13.58</v>
      </c>
      <c r="N42" s="37"/>
      <c r="O42" s="37"/>
      <c r="P42" s="37"/>
      <c r="Q42" s="239"/>
      <c r="R42" s="227">
        <f>T42</f>
        <v>95.07</v>
      </c>
      <c r="S42" s="37"/>
      <c r="T42" s="37">
        <f>Январь!T42+Февраль!T42+Март!T42+Апрель!T42+Май!T42+Июнь!T42+'Июль 1'!T42+Август!T42+Сентябрь!T42+Октябрь!T42+Ноябрь!T42+Декабрь!T42</f>
        <v>95.07</v>
      </c>
      <c r="U42" s="37"/>
      <c r="V42" s="16"/>
      <c r="W42" s="37"/>
      <c r="X42" s="37"/>
      <c r="Y42" s="67">
        <f>AA42</f>
        <v>38</v>
      </c>
      <c r="Z42" s="195"/>
      <c r="AA42" s="195">
        <f>Январь!AA42+Февраль!AA42+Март!AA42+Апрель!AA42+Май!AA42+Июнь!AA42+'Июль 1'!AA42+Август!AA42+Сентябрь!AA42+Октябрь!AA42+Ноябрь!AA42+Декабрь!AA42</f>
        <v>38</v>
      </c>
      <c r="AB42" s="195"/>
      <c r="AC42" s="132"/>
      <c r="AD42" s="195"/>
      <c r="AE42" s="195"/>
      <c r="AF42" s="14">
        <f>AH42</f>
        <v>19.8</v>
      </c>
      <c r="AG42" s="37"/>
      <c r="AH42" s="37">
        <v>19.8</v>
      </c>
      <c r="AI42" s="13"/>
      <c r="AJ42" s="13"/>
      <c r="AK42" s="13"/>
      <c r="AL42" s="37"/>
      <c r="AM42" s="15">
        <f>AO42</f>
        <v>752.3999999999999</v>
      </c>
      <c r="AN42" s="37"/>
      <c r="AO42" s="37">
        <f>Январь!AO42+Февраль!AO42+Март!AO42+Апрель!AO42+Май!AO42+Июнь!AO42+'Июль 1'!AO42+Август!AO42+Сентябрь!AO42+Октябрь!AO42+Ноябрь!AO42+Декабрь!AO42</f>
        <v>752.3999999999999</v>
      </c>
      <c r="AP42" s="37"/>
      <c r="AQ42" s="16"/>
      <c r="AR42" s="37"/>
      <c r="AS42" s="37"/>
      <c r="AT42" s="15"/>
      <c r="AU42" s="37"/>
      <c r="AV42" s="37"/>
      <c r="AW42" s="37"/>
      <c r="AX42" s="37"/>
      <c r="AY42" s="37"/>
      <c r="AZ42" s="13"/>
    </row>
    <row r="43" spans="1:52" s="4" customFormat="1" ht="39.75" customHeight="1" hidden="1">
      <c r="A43" s="66"/>
      <c r="B43" s="39" t="s">
        <v>44</v>
      </c>
      <c r="C43" s="39"/>
      <c r="D43" s="15">
        <f>SUM(E43:I43)</f>
        <v>0</v>
      </c>
      <c r="E43" s="37"/>
      <c r="F43" s="37"/>
      <c r="G43" s="37"/>
      <c r="H43" s="37"/>
      <c r="I43" s="37"/>
      <c r="J43" s="253"/>
      <c r="K43" s="257"/>
      <c r="L43" s="13"/>
      <c r="M43" s="37"/>
      <c r="N43" s="13"/>
      <c r="O43" s="139"/>
      <c r="P43" s="37"/>
      <c r="Q43" s="239"/>
      <c r="R43" s="227">
        <f>SUM(S43:W43)</f>
        <v>0</v>
      </c>
      <c r="S43" s="37"/>
      <c r="T43" s="37"/>
      <c r="U43" s="37"/>
      <c r="V43" s="37"/>
      <c r="W43" s="37"/>
      <c r="X43" s="37"/>
      <c r="Y43" s="67">
        <f>SUM(Z43:AD43)</f>
        <v>3625.655501107731</v>
      </c>
      <c r="Z43" s="195"/>
      <c r="AA43" s="195"/>
      <c r="AB43" s="195"/>
      <c r="AC43" s="203">
        <f>Январь!AC42+Февраль!AC42+Март!AC42+Апрель!AC42+Май!AC42+Июнь!AC42+'Июль 1'!AC43+Август!AC43+Сентябрь!AC43+Октябрь!AC43+Ноябрь!AC43+Декабрь!AC43</f>
        <v>3625.655501107731</v>
      </c>
      <c r="AD43" s="195"/>
      <c r="AE43" s="195"/>
      <c r="AF43" s="14">
        <f>AJ43</f>
        <v>16.38</v>
      </c>
      <c r="AG43" s="37"/>
      <c r="AH43" s="37"/>
      <c r="AI43" s="13"/>
      <c r="AJ43" s="127">
        <v>16.38</v>
      </c>
      <c r="AK43" s="13"/>
      <c r="AL43" s="37"/>
      <c r="AM43" s="15">
        <f>SUM(AN43:AR43)</f>
        <v>61371.34</v>
      </c>
      <c r="AN43" s="37"/>
      <c r="AO43" s="37"/>
      <c r="AP43" s="37"/>
      <c r="AQ43" s="204">
        <f>Январь!AQ42+Февраль!AQ42+Март!AQ42+Апрель!AQ42+Май!AQ42+Июнь!AQ42+'Июль 1'!AQ43+Август!AQ43+Сентябрь!AQ43+Октябрь!AQ43+Ноябрь!AQ43+Декабрь!AQ43</f>
        <v>61371.34</v>
      </c>
      <c r="AR43" s="37"/>
      <c r="AS43" s="37"/>
      <c r="AT43" s="15">
        <f>SUM(AU43:AY43)</f>
        <v>0</v>
      </c>
      <c r="AU43" s="37"/>
      <c r="AV43" s="37"/>
      <c r="AW43" s="37"/>
      <c r="AX43" s="37"/>
      <c r="AY43" s="37"/>
      <c r="AZ43" s="13"/>
    </row>
    <row r="44" spans="1:52" ht="43.5" customHeight="1">
      <c r="A44" s="66"/>
      <c r="B44" s="39" t="s">
        <v>26</v>
      </c>
      <c r="C44" s="39"/>
      <c r="D44" s="64">
        <f>SUM(E44:I44)</f>
        <v>14806.591444444446</v>
      </c>
      <c r="E44" s="202"/>
      <c r="F44" s="202"/>
      <c r="G44" s="202"/>
      <c r="H44" s="202"/>
      <c r="I44" s="203">
        <f>Январь!I43+Февраль!I43+Март!I43+Апрель!I43+Май!I43+Июнь!I43+'Июль 1'!I44+Август!I44+Сентябрь!I44+Октябрь!I44+Ноябрь!I44+Декабрь!I44</f>
        <v>14806.591444444446</v>
      </c>
      <c r="J44" s="109"/>
      <c r="K44" s="264"/>
      <c r="L44" s="13"/>
      <c r="M44" s="13"/>
      <c r="N44" s="13"/>
      <c r="O44" s="13"/>
      <c r="P44" s="13">
        <v>18</v>
      </c>
      <c r="Q44" s="235"/>
      <c r="R44" s="228">
        <f>SUM(S44:W44)</f>
        <v>276529.11</v>
      </c>
      <c r="S44" s="205"/>
      <c r="T44" s="205"/>
      <c r="U44" s="205"/>
      <c r="V44" s="205"/>
      <c r="W44" s="204">
        <f>Январь!W43+Февраль!W43+Март!W43+Апрель!W43+Май!W43+Июнь!W43+'Июль 1'!W44+Август!W44+Сентябрь!W44+Октябрь!W44+Ноябрь!W44+Декабрь!W44</f>
        <v>276529.11</v>
      </c>
      <c r="X44" s="13"/>
      <c r="Y44" s="64">
        <f>SUM(Z44:AD44)</f>
        <v>14806.590390334573</v>
      </c>
      <c r="Z44" s="206"/>
      <c r="AA44" s="206"/>
      <c r="AB44" s="206"/>
      <c r="AC44" s="206"/>
      <c r="AD44" s="203">
        <f>Январь!AD43+Февраль!AD43+Март!AD43+Апрель!AD43+Май!AD43+Июнь!AD43+'Июль 1'!AD44+Август!AD44+Сентябрь!AD44+Октябрь!AD44+Ноябрь!AD44+Декабрь!AD44</f>
        <v>14806.590390334573</v>
      </c>
      <c r="AE44" s="197"/>
      <c r="AF44" s="14">
        <f>AK44</f>
        <v>18</v>
      </c>
      <c r="AG44" s="13"/>
      <c r="AH44" s="13"/>
      <c r="AI44" s="13"/>
      <c r="AJ44" s="13"/>
      <c r="AK44" s="13">
        <v>18</v>
      </c>
      <c r="AL44" s="13"/>
      <c r="AM44" s="14">
        <f>SUM(AN44:AR44)</f>
        <v>251850.75</v>
      </c>
      <c r="AN44" s="205"/>
      <c r="AO44" s="205"/>
      <c r="AP44" s="205"/>
      <c r="AQ44" s="205"/>
      <c r="AR44" s="204">
        <f>Январь!AR43+Февраль!AR43+Март!AR43+Апрель!AR43+Май!AR43+Июнь!AR43+'Июль 1'!AR44+Август!AR44+Сентябрь!AR44+Октябрь!AR44+Ноябрь!AR44+Декабрь!AR44</f>
        <v>251850.75</v>
      </c>
      <c r="AS44" s="13"/>
      <c r="AT44" s="14">
        <f>SUM(AU44:AY44)</f>
        <v>0</v>
      </c>
      <c r="AU44" s="37"/>
      <c r="AV44" s="37"/>
      <c r="AW44" s="37"/>
      <c r="AX44" s="37"/>
      <c r="AY44" s="37">
        <f>(P44-AK44)*I44</f>
        <v>0</v>
      </c>
      <c r="AZ44" s="13"/>
    </row>
    <row r="45" spans="1:52" ht="81.75" customHeight="1">
      <c r="A45" s="9"/>
      <c r="B45" s="43" t="s">
        <v>27</v>
      </c>
      <c r="C45" s="10"/>
      <c r="D45" s="15">
        <f t="shared" si="24"/>
        <v>118580.97994350281</v>
      </c>
      <c r="E45" s="203">
        <f>Январь!E44+Февраль!E44+Март!E44+Апрель!E44+Май!E44+Июнь!E44+'Июль 1'!E45+Август!E45+Сентябрь!E45+Октябрь!E45+Ноябрь!E45+Декабрь!E45</f>
        <v>62609.45994350282</v>
      </c>
      <c r="F45" s="203">
        <f>Январь!F44+Февраль!F44+Март!F44+Апрель!F44+Май!F44+Июнь!F44+'Июль 1'!F45+Август!F45+Сентябрь!F45+Октябрь!F45+Ноябрь!F45+Декабрь!F45</f>
        <v>55971.51999999999</v>
      </c>
      <c r="G45" s="204"/>
      <c r="H45" s="204"/>
      <c r="I45" s="204"/>
      <c r="J45" s="253"/>
      <c r="K45" s="114"/>
      <c r="L45" s="37">
        <v>17.7</v>
      </c>
      <c r="M45" s="37">
        <v>20</v>
      </c>
      <c r="N45" s="37"/>
      <c r="O45" s="37"/>
      <c r="P45" s="37"/>
      <c r="Q45" s="239"/>
      <c r="R45" s="227">
        <f t="shared" si="25"/>
        <v>2778609.58</v>
      </c>
      <c r="S45" s="204">
        <f>Январь!S44+Февраль!S44+Март!S44+Апрель!S44+Май!S44+Июнь!S44+'Июль 1'!S45+Август!S45+Сентябрь!S45+Октябрь!S45+Ноябрь!S45+Декабрь!S45</f>
        <v>1429244.39</v>
      </c>
      <c r="T45" s="204">
        <f>Январь!T44+Февраль!T44+Март!T44+Апрель!T44+Май!T44+Июнь!T44+'Июль 1'!T45+Август!T45+Сентябрь!T45+Октябрь!T45+Ноябрь!T45+Декабрь!T45</f>
        <v>1349365.19</v>
      </c>
      <c r="U45" s="204"/>
      <c r="V45" s="204"/>
      <c r="W45" s="204"/>
      <c r="X45" s="37"/>
      <c r="Y45" s="67">
        <f t="shared" si="26"/>
        <v>118396.12394657548</v>
      </c>
      <c r="Z45" s="203">
        <f>Январь!Z44+Февраль!Z44+Март!Z44+Апрель!Z44+Май!Z44+Июнь!Z44+'Июль 1'!Z45+Август!Z45+Сентябрь!Z45+Октябрь!Z45+Ноябрь!Z45+Декабрь!Z45</f>
        <v>62492.950946575475</v>
      </c>
      <c r="AA45" s="203">
        <f>Январь!AA44+Февраль!AA44+Март!AA44+Апрель!AA44+Май!AA44+Июнь!AA44+'Июль 1'!AA45+Август!AA45+Сентябрь!AA45+Октябрь!AA45+Ноябрь!AA45+Декабрь!AA45</f>
        <v>55903.172999999995</v>
      </c>
      <c r="AB45" s="203"/>
      <c r="AC45" s="203"/>
      <c r="AD45" s="203"/>
      <c r="AE45" s="195"/>
      <c r="AF45" s="15">
        <f>AM45/Y45</f>
        <v>17.977535995692236</v>
      </c>
      <c r="AG45" s="37">
        <v>17.7</v>
      </c>
      <c r="AH45" s="37">
        <v>20</v>
      </c>
      <c r="AI45" s="37"/>
      <c r="AJ45" s="37"/>
      <c r="AK45" s="37"/>
      <c r="AL45" s="37"/>
      <c r="AM45" s="15">
        <f>SUM(AN45:AS45)</f>
        <v>2128470.58</v>
      </c>
      <c r="AN45" s="204">
        <f>Январь!AN44+Февраль!AN44+Март!AN44+Апрель!AN44+Май!AN44+Июнь!AN44+'Июль 1'!AN45+Август!AN45+Сентябрь!AN45+Октябрь!AN45+Ноябрь!AN45+Декабрь!AN45</f>
        <v>1087012.05</v>
      </c>
      <c r="AO45" s="204">
        <f>Январь!AO44+Февраль!AO44+Март!AO44+Апрель!AO44+Май!AO44+Июнь!AO44+'Июль 1'!AO45+Август!AO45+Сентябрь!AO45+Октябрь!AO45+Ноябрь!AO45+Декабрь!AO45</f>
        <v>1041458.5299999998</v>
      </c>
      <c r="AP45" s="204"/>
      <c r="AQ45" s="204"/>
      <c r="AR45" s="204"/>
      <c r="AS45" s="37"/>
      <c r="AT45" s="15">
        <f t="shared" si="28"/>
        <v>0</v>
      </c>
      <c r="AU45" s="37">
        <f>(L45-AG45)*E45</f>
        <v>0</v>
      </c>
      <c r="AV45" s="37">
        <f>(M45-AH45)*F45</f>
        <v>0</v>
      </c>
      <c r="AW45" s="37"/>
      <c r="AX45" s="37"/>
      <c r="AY45" s="37"/>
      <c r="AZ45" s="13"/>
    </row>
    <row r="46" spans="1:52" ht="81.75" customHeight="1" thickBot="1">
      <c r="A46" s="38"/>
      <c r="B46" s="39" t="s">
        <v>28</v>
      </c>
      <c r="C46" s="40"/>
      <c r="D46" s="15">
        <f t="shared" si="24"/>
        <v>223307</v>
      </c>
      <c r="E46" s="205"/>
      <c r="F46" s="203">
        <f>Январь!F45+Февраль!F45+Март!F45+Апрель!F45+Май!F45+Июнь!F45+'Июль 1'!F46+Август!F46+Сентябрь!F46+Октябрь!F46+Ноябрь!F46+Декабрь!F46</f>
        <v>223307</v>
      </c>
      <c r="G46" s="204"/>
      <c r="H46" s="204"/>
      <c r="I46" s="204"/>
      <c r="J46" s="253"/>
      <c r="K46" s="257"/>
      <c r="L46" s="13"/>
      <c r="M46" s="139">
        <v>20</v>
      </c>
      <c r="N46" s="37"/>
      <c r="O46" s="37"/>
      <c r="P46" s="37"/>
      <c r="Q46" s="239"/>
      <c r="R46" s="227">
        <f t="shared" si="25"/>
        <v>5692357.070000001</v>
      </c>
      <c r="S46" s="205"/>
      <c r="T46" s="204">
        <f>Январь!T45+Февраль!T45+Март!T45+Апрель!T45+Май!T45+Июнь!T45+'Июль 1'!T46+Август!T46+Сентябрь!T46+Октябрь!T46+Ноябрь!T46+Декабрь!T46</f>
        <v>5692357.070000001</v>
      </c>
      <c r="U46" s="204"/>
      <c r="V46" s="204"/>
      <c r="W46" s="204"/>
      <c r="X46" s="37"/>
      <c r="Y46" s="67">
        <f t="shared" si="26"/>
        <v>223318</v>
      </c>
      <c r="Z46" s="206"/>
      <c r="AA46" s="203">
        <f>Январь!AA45+Февраль!AA45+Март!AA45+Апрель!AA45+Май!AA45+Июнь!AA45+'Июль 1'!AA46+Август!AA46+Сентябрь!AA46+Октябрь!AA46+Ноябрь!AA46+Декабрь!AA46</f>
        <v>223318</v>
      </c>
      <c r="AB46" s="203"/>
      <c r="AC46" s="203"/>
      <c r="AD46" s="203"/>
      <c r="AE46" s="195"/>
      <c r="AF46" s="14">
        <f>AH46</f>
        <v>20</v>
      </c>
      <c r="AG46" s="37"/>
      <c r="AH46" s="37">
        <v>20</v>
      </c>
      <c r="AI46" s="13"/>
      <c r="AJ46" s="13"/>
      <c r="AK46" s="13"/>
      <c r="AL46" s="37"/>
      <c r="AM46" s="15">
        <f t="shared" si="27"/>
        <v>4167842.4000000004</v>
      </c>
      <c r="AN46" s="205"/>
      <c r="AO46" s="204">
        <f>Январь!AO45+Февраль!AO45+Март!AO45+Апрель!AO45+Май!AO45+Июнь!AO45+'Июль 1'!AO46+Август!AO46+Сентябрь!AO46+Октябрь!AO46+Ноябрь!AO46+Декабрь!AO46</f>
        <v>4167842.4000000004</v>
      </c>
      <c r="AP46" s="204"/>
      <c r="AQ46" s="204"/>
      <c r="AR46" s="204"/>
      <c r="AS46" s="37"/>
      <c r="AT46" s="15">
        <f t="shared" si="28"/>
        <v>0</v>
      </c>
      <c r="AU46" s="37"/>
      <c r="AV46" s="37">
        <f>(M46-AH46)*F46</f>
        <v>0</v>
      </c>
      <c r="AW46" s="37"/>
      <c r="AX46" s="37"/>
      <c r="AY46" s="37"/>
      <c r="AZ46" s="13"/>
    </row>
    <row r="47" spans="1:65" s="91" customFormat="1" ht="39.75" customHeight="1" thickBot="1">
      <c r="A47" s="88"/>
      <c r="B47" s="89" t="s">
        <v>64</v>
      </c>
      <c r="C47" s="89"/>
      <c r="D47" s="90"/>
      <c r="E47" s="90"/>
      <c r="F47" s="90"/>
      <c r="G47" s="90"/>
      <c r="H47" s="90"/>
      <c r="I47" s="90"/>
      <c r="J47" s="254"/>
      <c r="K47" s="265"/>
      <c r="L47" s="90"/>
      <c r="M47" s="90"/>
      <c r="N47" s="90"/>
      <c r="O47" s="90"/>
      <c r="P47" s="90"/>
      <c r="Q47" s="244"/>
      <c r="R47" s="233">
        <f aca="true" t="shared" si="29" ref="R47:X47">R37+R27+R19+R7</f>
        <v>241005392.75</v>
      </c>
      <c r="S47" s="90">
        <f t="shared" si="29"/>
        <v>20501041.26</v>
      </c>
      <c r="T47" s="90">
        <f t="shared" si="29"/>
        <v>98951052.9</v>
      </c>
      <c r="U47" s="90">
        <f t="shared" si="29"/>
        <v>51472824.15</v>
      </c>
      <c r="V47" s="90">
        <f t="shared" si="29"/>
        <v>34490865.93</v>
      </c>
      <c r="W47" s="90">
        <f t="shared" si="29"/>
        <v>32766229.560000002</v>
      </c>
      <c r="X47" s="90">
        <f t="shared" si="29"/>
        <v>2823378.95</v>
      </c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>
        <f aca="true" t="shared" si="30" ref="AM47:AZ47">AM37+AM27+AM19+AM7</f>
        <v>166236608.59</v>
      </c>
      <c r="AN47" s="90">
        <f t="shared" si="30"/>
        <v>13254227.01</v>
      </c>
      <c r="AO47" s="90">
        <f t="shared" si="30"/>
        <v>77130080.49</v>
      </c>
      <c r="AP47" s="90">
        <f t="shared" si="30"/>
        <v>33152096.330000002</v>
      </c>
      <c r="AQ47" s="90">
        <f t="shared" si="30"/>
        <v>21111396.83</v>
      </c>
      <c r="AR47" s="90">
        <f t="shared" si="30"/>
        <v>19133735.17</v>
      </c>
      <c r="AS47" s="90">
        <f t="shared" si="30"/>
        <v>2455072.7600000002</v>
      </c>
      <c r="AT47" s="90">
        <f t="shared" si="30"/>
        <v>36289.11372055167</v>
      </c>
      <c r="AU47" s="90">
        <f t="shared" si="30"/>
        <v>0</v>
      </c>
      <c r="AV47" s="90">
        <f t="shared" si="30"/>
        <v>0</v>
      </c>
      <c r="AW47" s="90">
        <f t="shared" si="30"/>
        <v>33.86902000001733</v>
      </c>
      <c r="AX47" s="90">
        <f t="shared" si="30"/>
        <v>0</v>
      </c>
      <c r="AY47" s="90">
        <f t="shared" si="30"/>
        <v>-1311.5677000002051</v>
      </c>
      <c r="AZ47" s="90">
        <f t="shared" si="30"/>
        <v>37566.81240055186</v>
      </c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</row>
    <row r="48" spans="5:25" ht="25.5" customHeight="1">
      <c r="E48" s="6"/>
      <c r="Q48" s="104"/>
      <c r="Y48" s="6"/>
    </row>
    <row r="49" spans="2:57" ht="55.5" customHeight="1">
      <c r="B49" s="208"/>
      <c r="C49" s="208"/>
      <c r="D49" s="208"/>
      <c r="E49" s="208"/>
      <c r="Q49" s="104"/>
      <c r="U49" s="208"/>
      <c r="V49" s="208"/>
      <c r="W49" s="94"/>
      <c r="X49" s="94"/>
      <c r="Y49" s="94"/>
      <c r="Z49" s="94"/>
      <c r="AT49" s="213" t="s">
        <v>19</v>
      </c>
      <c r="AU49" s="213"/>
      <c r="AV49" s="213"/>
      <c r="AW49" s="213"/>
      <c r="AY49" s="214" t="s">
        <v>45</v>
      </c>
      <c r="AZ49" s="214"/>
      <c r="BA49" s="208"/>
      <c r="BB49" s="208"/>
      <c r="BC49" s="208"/>
      <c r="BD49" s="208"/>
      <c r="BE49" s="208"/>
    </row>
    <row r="50" spans="5:26" ht="55.5" customHeight="1">
      <c r="E50" s="6"/>
      <c r="Y50" s="6"/>
      <c r="Z50" s="6"/>
    </row>
    <row r="51" spans="5:54" ht="26.25">
      <c r="E51" s="6"/>
      <c r="Y51" s="6"/>
      <c r="Z51" s="6"/>
      <c r="AT51" s="6"/>
      <c r="AV51" s="93"/>
      <c r="BA51" s="6"/>
      <c r="BB51" s="6"/>
    </row>
    <row r="52" spans="5:26" ht="26.25">
      <c r="E52" s="6"/>
      <c r="Y52" s="6"/>
      <c r="Z52" s="6"/>
    </row>
    <row r="53" spans="5:26" ht="26.25">
      <c r="E53" s="6"/>
      <c r="Y53" s="6"/>
      <c r="Z53" s="6"/>
    </row>
    <row r="54" spans="5:26" ht="26.25">
      <c r="E54" s="6"/>
      <c r="Y54" s="6"/>
      <c r="Z54" s="6"/>
    </row>
    <row r="55" spans="5:26" ht="26.25">
      <c r="E55" s="6"/>
      <c r="Y55" s="6"/>
      <c r="Z55" s="6"/>
    </row>
    <row r="56" spans="5:26" ht="26.25">
      <c r="E56" s="6"/>
      <c r="Y56" s="6"/>
      <c r="Z56" s="6"/>
    </row>
    <row r="57" spans="5:26" ht="26.25">
      <c r="E57" s="6"/>
      <c r="Y57" s="6"/>
      <c r="Z57" s="6"/>
    </row>
    <row r="58" spans="5:26" ht="26.25">
      <c r="E58" s="6"/>
      <c r="Y58" s="6"/>
      <c r="Z58" s="6"/>
    </row>
    <row r="59" spans="5:26" ht="26.25">
      <c r="E59" s="6"/>
      <c r="Y59" s="6"/>
      <c r="Z59" s="6"/>
    </row>
    <row r="60" spans="5:26" ht="26.25">
      <c r="E60" s="6"/>
      <c r="Y60" s="6"/>
      <c r="Z60" s="6"/>
    </row>
    <row r="61" spans="5:26" ht="26.25">
      <c r="E61" s="6"/>
      <c r="Y61" s="6"/>
      <c r="Z61" s="6"/>
    </row>
    <row r="62" spans="5:26" ht="26.25">
      <c r="E62" s="6"/>
      <c r="Y62" s="6"/>
      <c r="Z62" s="6"/>
    </row>
    <row r="63" spans="5:26" ht="26.25">
      <c r="E63" s="6"/>
      <c r="Y63" s="6"/>
      <c r="Z63" s="6"/>
    </row>
    <row r="64" spans="5:26" ht="26.25">
      <c r="E64" s="6"/>
      <c r="Y64" s="6"/>
      <c r="Z64" s="6"/>
    </row>
    <row r="65" spans="5:26" ht="26.25">
      <c r="E65" s="6"/>
      <c r="Y65" s="6"/>
      <c r="Z65" s="6"/>
    </row>
    <row r="66" spans="5:26" ht="26.25">
      <c r="E66" s="6"/>
      <c r="Y66" s="6"/>
      <c r="Z66" s="6"/>
    </row>
    <row r="67" spans="5:26" ht="26.25">
      <c r="E67" s="6"/>
      <c r="Y67" s="6"/>
      <c r="Z67" s="6"/>
    </row>
    <row r="68" spans="5:26" ht="26.25">
      <c r="E68" s="6"/>
      <c r="Y68" s="6"/>
      <c r="Z68" s="6"/>
    </row>
    <row r="69" spans="5:26" ht="26.25">
      <c r="E69" s="6"/>
      <c r="Y69" s="6"/>
      <c r="Z69" s="6"/>
    </row>
    <row r="70" spans="5:26" ht="26.25">
      <c r="E70" s="6"/>
      <c r="Y70" s="6"/>
      <c r="Z70" s="6"/>
    </row>
    <row r="71" spans="5:26" ht="26.25">
      <c r="E71" s="6"/>
      <c r="Y71" s="6"/>
      <c r="Z71" s="6"/>
    </row>
    <row r="72" spans="5:26" ht="26.25">
      <c r="E72" s="6"/>
      <c r="Y72" s="6"/>
      <c r="Z72" s="6"/>
    </row>
    <row r="73" spans="5:26" ht="26.25">
      <c r="E73" s="6"/>
      <c r="Y73" s="6"/>
      <c r="Z73" s="6"/>
    </row>
    <row r="74" spans="5:26" ht="26.25">
      <c r="E74" s="6"/>
      <c r="Y74" s="6"/>
      <c r="Z74" s="6"/>
    </row>
    <row r="75" spans="5:26" ht="26.25">
      <c r="E75" s="6"/>
      <c r="Y75" s="6"/>
      <c r="Z75" s="6"/>
    </row>
    <row r="76" spans="5:26" ht="26.25">
      <c r="E76" s="6"/>
      <c r="Y76" s="6"/>
      <c r="Z76" s="6"/>
    </row>
    <row r="77" spans="5:26" ht="26.25">
      <c r="E77" s="6"/>
      <c r="Y77" s="6"/>
      <c r="Z77" s="6"/>
    </row>
    <row r="78" spans="5:26" ht="26.25">
      <c r="E78" s="6"/>
      <c r="Y78" s="6"/>
      <c r="Z78" s="6"/>
    </row>
    <row r="79" spans="5:26" ht="26.25">
      <c r="E79" s="6"/>
      <c r="Y79" s="6"/>
      <c r="Z79" s="6"/>
    </row>
    <row r="80" spans="5:26" ht="26.25">
      <c r="E80" s="6"/>
      <c r="Y80" s="6"/>
      <c r="Z80" s="6"/>
    </row>
    <row r="81" spans="5:26" ht="26.25">
      <c r="E81" s="6"/>
      <c r="Y81" s="6"/>
      <c r="Z81" s="6"/>
    </row>
    <row r="82" spans="5:26" ht="26.25">
      <c r="E82" s="6"/>
      <c r="Y82" s="6"/>
      <c r="Z82" s="6"/>
    </row>
    <row r="83" spans="5:26" ht="26.25">
      <c r="E83" s="6"/>
      <c r="Y83" s="6"/>
      <c r="Z83" s="6"/>
    </row>
    <row r="84" spans="5:26" ht="26.25">
      <c r="E84" s="6"/>
      <c r="Y84" s="6"/>
      <c r="Z84" s="6"/>
    </row>
    <row r="85" spans="5:26" ht="26.25">
      <c r="E85" s="6"/>
      <c r="Y85" s="6"/>
      <c r="Z85" s="6"/>
    </row>
    <row r="86" spans="5:26" ht="26.25">
      <c r="E86" s="6"/>
      <c r="Y86" s="6"/>
      <c r="Z86" s="6"/>
    </row>
    <row r="87" spans="5:26" ht="26.25">
      <c r="E87" s="6"/>
      <c r="Y87" s="6"/>
      <c r="Z87" s="6"/>
    </row>
    <row r="88" spans="5:26" ht="26.25">
      <c r="E88" s="6"/>
      <c r="Y88" s="6"/>
      <c r="Z88" s="6"/>
    </row>
    <row r="89" spans="5:26" ht="26.25">
      <c r="E89" s="6"/>
      <c r="Y89" s="6"/>
      <c r="Z89" s="6"/>
    </row>
    <row r="90" spans="5:26" ht="26.25">
      <c r="E90" s="6"/>
      <c r="Y90" s="6"/>
      <c r="Z90" s="6"/>
    </row>
    <row r="91" spans="25:26" ht="26.25">
      <c r="Y91" s="6"/>
      <c r="Z91" s="6"/>
    </row>
    <row r="92" spans="25:26" ht="26.25">
      <c r="Y92" s="6"/>
      <c r="Z92" s="6"/>
    </row>
    <row r="93" spans="25:26" ht="26.25">
      <c r="Y93" s="6"/>
      <c r="Z93" s="6"/>
    </row>
    <row r="94" spans="25:26" ht="26.25">
      <c r="Y94" s="6"/>
      <c r="Z94" s="6"/>
    </row>
    <row r="95" spans="25:26" ht="26.25">
      <c r="Y95" s="6"/>
      <c r="Z95" s="6"/>
    </row>
    <row r="96" spans="25:26" ht="26.25">
      <c r="Y96" s="6"/>
      <c r="Z96" s="6"/>
    </row>
    <row r="97" spans="25:26" ht="26.25">
      <c r="Y97" s="6"/>
      <c r="Z97" s="6"/>
    </row>
    <row r="98" spans="25:26" ht="26.25">
      <c r="Y98" s="6"/>
      <c r="Z98" s="6"/>
    </row>
    <row r="99" spans="25:26" ht="26.25">
      <c r="Y99" s="6"/>
      <c r="Z99" s="6"/>
    </row>
    <row r="100" spans="25:26" ht="26.25">
      <c r="Y100" s="6"/>
      <c r="Z100" s="6"/>
    </row>
    <row r="101" spans="25:26" ht="26.25">
      <c r="Y101" s="6"/>
      <c r="Z101" s="6"/>
    </row>
    <row r="102" spans="25:26" ht="26.25">
      <c r="Y102" s="6"/>
      <c r="Z102" s="6"/>
    </row>
    <row r="103" spans="25:26" ht="26.25">
      <c r="Y103" s="6"/>
      <c r="Z103" s="6"/>
    </row>
    <row r="104" spans="25:26" ht="26.25">
      <c r="Y104" s="6"/>
      <c r="Z104" s="6"/>
    </row>
    <row r="105" spans="25:26" ht="26.25">
      <c r="Y105" s="6"/>
      <c r="Z105" s="6"/>
    </row>
    <row r="106" spans="25:26" ht="26.25">
      <c r="Y106" s="6"/>
      <c r="Z106" s="6"/>
    </row>
    <row r="107" spans="25:26" ht="26.25">
      <c r="Y107" s="6"/>
      <c r="Z107" s="6"/>
    </row>
    <row r="108" spans="25:26" ht="26.25">
      <c r="Y108" s="6"/>
      <c r="Z108" s="6"/>
    </row>
    <row r="109" spans="25:26" ht="26.25">
      <c r="Y109" s="6"/>
      <c r="Z109" s="6"/>
    </row>
    <row r="110" spans="25:26" ht="26.25">
      <c r="Y110" s="6"/>
      <c r="Z110" s="6"/>
    </row>
    <row r="111" spans="25:26" ht="26.25">
      <c r="Y111" s="6"/>
      <c r="Z111" s="6"/>
    </row>
    <row r="112" spans="25:26" ht="26.25">
      <c r="Y112" s="6"/>
      <c r="Z112" s="6"/>
    </row>
    <row r="113" spans="25:26" ht="26.25">
      <c r="Y113" s="6"/>
      <c r="Z113" s="6"/>
    </row>
    <row r="114" spans="25:26" ht="26.25">
      <c r="Y114" s="6"/>
      <c r="Z114" s="6"/>
    </row>
    <row r="115" spans="25:26" ht="26.25">
      <c r="Y115" s="6"/>
      <c r="Z115" s="6"/>
    </row>
    <row r="116" spans="25:26" ht="26.25">
      <c r="Y116" s="6"/>
      <c r="Z116" s="6"/>
    </row>
    <row r="117" spans="25:26" ht="26.25">
      <c r="Y117" s="6"/>
      <c r="Z117" s="6"/>
    </row>
    <row r="118" spans="25:26" ht="26.25">
      <c r="Y118" s="6"/>
      <c r="Z118" s="6"/>
    </row>
    <row r="119" spans="25:26" ht="26.25">
      <c r="Y119" s="6"/>
      <c r="Z119" s="6"/>
    </row>
    <row r="120" spans="25:26" ht="26.25">
      <c r="Y120" s="6"/>
      <c r="Z120" s="6"/>
    </row>
    <row r="121" spans="25:26" ht="26.25">
      <c r="Y121" s="6"/>
      <c r="Z121" s="6"/>
    </row>
    <row r="122" spans="25:26" ht="26.25">
      <c r="Y122" s="6"/>
      <c r="Z122" s="6"/>
    </row>
    <row r="123" spans="25:26" ht="26.25">
      <c r="Y123" s="6"/>
      <c r="Z123" s="6"/>
    </row>
    <row r="124" spans="25:26" ht="26.25">
      <c r="Y124" s="6"/>
      <c r="Z124" s="6"/>
    </row>
    <row r="125" spans="25:26" ht="26.25">
      <c r="Y125" s="6"/>
      <c r="Z125" s="6"/>
    </row>
    <row r="126" spans="25:26" ht="26.25">
      <c r="Y126" s="6"/>
      <c r="Z126" s="6"/>
    </row>
    <row r="127" spans="25:26" ht="26.25">
      <c r="Y127" s="6"/>
      <c r="Z127" s="6"/>
    </row>
    <row r="128" spans="25:26" ht="26.25">
      <c r="Y128" s="6"/>
      <c r="Z128" s="6"/>
    </row>
    <row r="129" spans="25:26" ht="26.25">
      <c r="Y129" s="6"/>
      <c r="Z129" s="6"/>
    </row>
    <row r="130" spans="25:26" ht="26.25">
      <c r="Y130" s="6"/>
      <c r="Z130" s="6"/>
    </row>
    <row r="131" spans="25:26" ht="26.25">
      <c r="Y131" s="6"/>
      <c r="Z131" s="6"/>
    </row>
    <row r="132" spans="25:26" ht="26.25">
      <c r="Y132" s="6"/>
      <c r="Z132" s="6"/>
    </row>
    <row r="133" spans="25:26" ht="26.25">
      <c r="Y133" s="6"/>
      <c r="Z133" s="6"/>
    </row>
    <row r="134" spans="25:26" ht="26.25">
      <c r="Y134" s="6"/>
      <c r="Z134" s="6"/>
    </row>
    <row r="135" spans="25:26" ht="26.25">
      <c r="Y135" s="6"/>
      <c r="Z135" s="6"/>
    </row>
    <row r="136" spans="25:26" ht="26.25">
      <c r="Y136" s="6"/>
      <c r="Z136" s="6"/>
    </row>
    <row r="137" spans="25:26" ht="26.25">
      <c r="Y137" s="6"/>
      <c r="Z137" s="6"/>
    </row>
    <row r="138" spans="25:26" ht="26.25">
      <c r="Y138" s="6"/>
      <c r="Z138" s="6"/>
    </row>
    <row r="139" spans="25:26" ht="26.25">
      <c r="Y139" s="6"/>
      <c r="Z139" s="6"/>
    </row>
    <row r="140" spans="25:26" ht="26.25">
      <c r="Y140" s="6"/>
      <c r="Z140" s="6"/>
    </row>
    <row r="141" spans="25:26" ht="26.25">
      <c r="Y141" s="6"/>
      <c r="Z141" s="6"/>
    </row>
    <row r="142" spans="25:26" ht="26.25">
      <c r="Y142" s="6"/>
      <c r="Z142" s="6"/>
    </row>
    <row r="143" spans="25:26" ht="26.25">
      <c r="Y143" s="6"/>
      <c r="Z143" s="6"/>
    </row>
    <row r="144" spans="25:26" ht="26.25">
      <c r="Y144" s="6"/>
      <c r="Z144" s="6"/>
    </row>
    <row r="145" spans="25:26" ht="26.25">
      <c r="Y145" s="6"/>
      <c r="Z145" s="6"/>
    </row>
    <row r="146" spans="25:26" ht="26.25">
      <c r="Y146" s="6"/>
      <c r="Z146" s="6"/>
    </row>
    <row r="147" spans="25:26" ht="26.25">
      <c r="Y147" s="6"/>
      <c r="Z147" s="6"/>
    </row>
    <row r="148" spans="25:26" ht="26.25">
      <c r="Y148" s="6"/>
      <c r="Z148" s="6"/>
    </row>
    <row r="149" spans="25:26" ht="26.25">
      <c r="Y149" s="6"/>
      <c r="Z149" s="6"/>
    </row>
    <row r="150" spans="25:26" ht="26.25">
      <c r="Y150" s="6"/>
      <c r="Z150" s="6"/>
    </row>
    <row r="151" spans="25:26" ht="26.25">
      <c r="Y151" s="6"/>
      <c r="Z151" s="6"/>
    </row>
    <row r="152" spans="25:26" ht="26.25">
      <c r="Y152" s="6"/>
      <c r="Z152" s="6"/>
    </row>
    <row r="153" spans="25:26" ht="26.25">
      <c r="Y153" s="6"/>
      <c r="Z153" s="6"/>
    </row>
    <row r="154" spans="25:26" ht="26.25">
      <c r="Y154" s="6"/>
      <c r="Z154" s="6"/>
    </row>
    <row r="155" spans="25:26" ht="26.25">
      <c r="Y155" s="6"/>
      <c r="Z155" s="6"/>
    </row>
    <row r="156" spans="25:26" ht="26.25">
      <c r="Y156" s="6"/>
      <c r="Z156" s="6"/>
    </row>
    <row r="157" spans="25:26" ht="26.25">
      <c r="Y157" s="6"/>
      <c r="Z157" s="6"/>
    </row>
    <row r="158" spans="25:26" ht="26.25">
      <c r="Y158" s="6"/>
      <c r="Z158" s="6"/>
    </row>
    <row r="159" spans="25:26" ht="26.25">
      <c r="Y159" s="6"/>
      <c r="Z159" s="6"/>
    </row>
    <row r="160" spans="25:26" ht="26.25">
      <c r="Y160" s="6"/>
      <c r="Z160" s="6"/>
    </row>
    <row r="161" spans="25:26" ht="26.25">
      <c r="Y161" s="6"/>
      <c r="Z161" s="6"/>
    </row>
    <row r="162" spans="25:26" ht="26.25">
      <c r="Y162" s="6"/>
      <c r="Z162" s="6"/>
    </row>
    <row r="163" spans="25:26" ht="26.25">
      <c r="Y163" s="6"/>
      <c r="Z163" s="6"/>
    </row>
    <row r="164" spans="25:26" ht="26.25">
      <c r="Y164" s="6"/>
      <c r="Z164" s="6"/>
    </row>
    <row r="165" spans="25:26" ht="26.25">
      <c r="Y165" s="6"/>
      <c r="Z165" s="6"/>
    </row>
    <row r="166" spans="25:26" ht="26.25">
      <c r="Y166" s="6"/>
      <c r="Z166" s="6"/>
    </row>
    <row r="167" spans="25:26" ht="26.25">
      <c r="Y167" s="6"/>
      <c r="Z167" s="6"/>
    </row>
    <row r="168" spans="25:26" ht="26.25">
      <c r="Y168" s="6"/>
      <c r="Z168" s="6"/>
    </row>
    <row r="169" spans="25:26" ht="26.25">
      <c r="Y169" s="6"/>
      <c r="Z169" s="6"/>
    </row>
    <row r="170" spans="25:26" ht="26.25">
      <c r="Y170" s="6"/>
      <c r="Z170" s="6"/>
    </row>
    <row r="171" spans="25:26" ht="26.25">
      <c r="Y171" s="6"/>
      <c r="Z171" s="6"/>
    </row>
    <row r="172" spans="25:26" ht="26.25">
      <c r="Y172" s="6"/>
      <c r="Z172" s="6"/>
    </row>
    <row r="173" spans="25:26" ht="26.25">
      <c r="Y173" s="6"/>
      <c r="Z173" s="6"/>
    </row>
    <row r="174" spans="25:26" ht="26.25">
      <c r="Y174" s="6"/>
      <c r="Z174" s="6"/>
    </row>
    <row r="175" spans="25:26" ht="26.25">
      <c r="Y175" s="6"/>
      <c r="Z175" s="6"/>
    </row>
    <row r="176" spans="25:26" ht="26.25">
      <c r="Y176" s="6"/>
      <c r="Z176" s="6"/>
    </row>
    <row r="177" spans="25:26" ht="26.25">
      <c r="Y177" s="6"/>
      <c r="Z177" s="6"/>
    </row>
    <row r="178" spans="25:26" ht="26.25">
      <c r="Y178" s="6"/>
      <c r="Z178" s="6"/>
    </row>
    <row r="179" spans="25:26" ht="26.25">
      <c r="Y179" s="6"/>
      <c r="Z179" s="6"/>
    </row>
    <row r="180" spans="25:26" ht="26.25">
      <c r="Y180" s="6"/>
      <c r="Z180" s="6"/>
    </row>
    <row r="181" spans="25:26" ht="26.25">
      <c r="Y181" s="6"/>
      <c r="Z181" s="6"/>
    </row>
    <row r="182" spans="25:26" ht="26.25">
      <c r="Y182" s="6"/>
      <c r="Z182" s="6"/>
    </row>
    <row r="183" spans="25:26" ht="26.25">
      <c r="Y183" s="6"/>
      <c r="Z183" s="6"/>
    </row>
    <row r="184" spans="25:26" ht="26.25">
      <c r="Y184" s="6"/>
      <c r="Z184" s="6"/>
    </row>
    <row r="185" spans="25:26" ht="26.25">
      <c r="Y185" s="6"/>
      <c r="Z185" s="6"/>
    </row>
    <row r="186" spans="25:26" ht="26.25">
      <c r="Y186" s="6"/>
      <c r="Z186" s="6"/>
    </row>
    <row r="187" spans="25:26" ht="26.25">
      <c r="Y187" s="6"/>
      <c r="Z187" s="6"/>
    </row>
    <row r="188" spans="25:26" ht="26.25">
      <c r="Y188" s="6"/>
      <c r="Z188" s="6"/>
    </row>
    <row r="189" spans="25:26" ht="26.25">
      <c r="Y189" s="6"/>
      <c r="Z189" s="6"/>
    </row>
    <row r="190" spans="25:26" ht="26.25">
      <c r="Y190" s="6"/>
      <c r="Z190" s="6"/>
    </row>
    <row r="191" spans="25:26" ht="26.25">
      <c r="Y191" s="6"/>
      <c r="Z191" s="6"/>
    </row>
    <row r="192" spans="25:26" ht="26.25">
      <c r="Y192" s="6"/>
      <c r="Z192" s="6"/>
    </row>
    <row r="193" spans="25:26" ht="26.25">
      <c r="Y193" s="6"/>
      <c r="Z193" s="6"/>
    </row>
    <row r="194" spans="25:26" ht="26.25">
      <c r="Y194" s="6"/>
      <c r="Z194" s="6"/>
    </row>
    <row r="195" spans="25:26" ht="26.25">
      <c r="Y195" s="6"/>
      <c r="Z195" s="6"/>
    </row>
    <row r="196" spans="25:26" ht="26.25">
      <c r="Y196" s="6"/>
      <c r="Z196" s="6"/>
    </row>
    <row r="197" spans="25:26" ht="26.25">
      <c r="Y197" s="6"/>
      <c r="Z197" s="6"/>
    </row>
    <row r="198" spans="25:26" ht="26.25">
      <c r="Y198" s="6"/>
      <c r="Z198" s="6"/>
    </row>
    <row r="199" spans="25:26" ht="26.25">
      <c r="Y199" s="6"/>
      <c r="Z199" s="6"/>
    </row>
    <row r="200" spans="25:26" ht="26.25">
      <c r="Y200" s="6"/>
      <c r="Z200" s="6"/>
    </row>
    <row r="201" spans="25:26" ht="26.25">
      <c r="Y201" s="6"/>
      <c r="Z201" s="6"/>
    </row>
    <row r="202" spans="25:26" ht="26.25">
      <c r="Y202" s="6"/>
      <c r="Z202" s="6"/>
    </row>
    <row r="203" spans="25:26" ht="26.25">
      <c r="Y203" s="6"/>
      <c r="Z203" s="6"/>
    </row>
    <row r="204" spans="25:26" ht="26.25">
      <c r="Y204" s="6"/>
      <c r="Z204" s="6"/>
    </row>
    <row r="205" spans="25:26" ht="26.25">
      <c r="Y205" s="6"/>
      <c r="Z205" s="6"/>
    </row>
    <row r="206" spans="25:26" ht="26.25">
      <c r="Y206" s="6"/>
      <c r="Z206" s="6"/>
    </row>
    <row r="207" spans="25:26" ht="26.25">
      <c r="Y207" s="6"/>
      <c r="Z207" s="6"/>
    </row>
    <row r="208" spans="25:26" ht="26.25">
      <c r="Y208" s="6"/>
      <c r="Z208" s="6"/>
    </row>
    <row r="209" spans="25:26" ht="26.25">
      <c r="Y209" s="6"/>
      <c r="Z209" s="6"/>
    </row>
    <row r="210" spans="25:26" ht="26.25">
      <c r="Y210" s="6"/>
      <c r="Z210" s="6"/>
    </row>
    <row r="211" spans="25:26" ht="26.25">
      <c r="Y211" s="6"/>
      <c r="Z211" s="6"/>
    </row>
    <row r="212" spans="25:26" ht="26.25">
      <c r="Y212" s="6"/>
      <c r="Z212" s="6"/>
    </row>
    <row r="213" spans="25:26" ht="26.25">
      <c r="Y213" s="6"/>
      <c r="Z213" s="6"/>
    </row>
    <row r="214" spans="25:26" ht="26.25">
      <c r="Y214" s="6"/>
      <c r="Z214" s="6"/>
    </row>
    <row r="215" spans="25:26" ht="26.25">
      <c r="Y215" s="6"/>
      <c r="Z215" s="6"/>
    </row>
    <row r="216" spans="25:26" ht="26.25">
      <c r="Y216" s="6"/>
      <c r="Z216" s="6"/>
    </row>
    <row r="217" spans="25:26" ht="26.25">
      <c r="Y217" s="6"/>
      <c r="Z217" s="6"/>
    </row>
    <row r="218" spans="25:26" ht="26.25">
      <c r="Y218" s="6"/>
      <c r="Z218" s="6"/>
    </row>
    <row r="219" spans="25:26" ht="26.25">
      <c r="Y219" s="6"/>
      <c r="Z219" s="6"/>
    </row>
    <row r="220" spans="25:26" ht="26.25">
      <c r="Y220" s="6"/>
      <c r="Z220" s="6"/>
    </row>
    <row r="221" spans="25:26" ht="26.25">
      <c r="Y221" s="6"/>
      <c r="Z221" s="6"/>
    </row>
    <row r="222" spans="25:26" ht="26.25">
      <c r="Y222" s="6"/>
      <c r="Z222" s="6"/>
    </row>
    <row r="223" spans="25:26" ht="26.25">
      <c r="Y223" s="6"/>
      <c r="Z223" s="6"/>
    </row>
    <row r="224" spans="25:26" ht="26.25">
      <c r="Y224" s="6"/>
      <c r="Z224" s="6"/>
    </row>
    <row r="225" spans="25:26" ht="26.25">
      <c r="Y225" s="6"/>
      <c r="Z225" s="6"/>
    </row>
    <row r="226" spans="25:26" ht="26.25">
      <c r="Y226" s="6"/>
      <c r="Z226" s="6"/>
    </row>
    <row r="227" spans="25:26" ht="26.25">
      <c r="Y227" s="6"/>
      <c r="Z227" s="6"/>
    </row>
    <row r="228" spans="25:26" ht="26.25">
      <c r="Y228" s="6"/>
      <c r="Z228" s="6"/>
    </row>
    <row r="229" spans="25:26" ht="26.25">
      <c r="Y229" s="6"/>
      <c r="Z229" s="6"/>
    </row>
    <row r="230" spans="25:26" ht="26.25">
      <c r="Y230" s="6"/>
      <c r="Z230" s="6"/>
    </row>
    <row r="231" spans="25:26" ht="26.25">
      <c r="Y231" s="6"/>
      <c r="Z231" s="6"/>
    </row>
    <row r="232" spans="25:26" ht="26.25">
      <c r="Y232" s="6"/>
      <c r="Z232" s="6"/>
    </row>
    <row r="233" spans="25:26" ht="26.25">
      <c r="Y233" s="6"/>
      <c r="Z233" s="6"/>
    </row>
    <row r="234" spans="25:26" ht="26.25">
      <c r="Y234" s="6"/>
      <c r="Z234" s="6"/>
    </row>
    <row r="235" spans="25:26" ht="26.25">
      <c r="Y235" s="6"/>
      <c r="Z235" s="6"/>
    </row>
    <row r="236" spans="25:26" ht="26.25">
      <c r="Y236" s="6"/>
      <c r="Z236" s="6"/>
    </row>
    <row r="237" spans="25:26" ht="26.25">
      <c r="Y237" s="6"/>
      <c r="Z237" s="6"/>
    </row>
    <row r="238" spans="25:26" ht="26.25">
      <c r="Y238" s="6"/>
      <c r="Z238" s="6"/>
    </row>
    <row r="239" spans="25:26" ht="26.25">
      <c r="Y239" s="6"/>
      <c r="Z239" s="6"/>
    </row>
    <row r="240" spans="25:26" ht="26.25">
      <c r="Y240" s="6"/>
      <c r="Z240" s="6"/>
    </row>
    <row r="241" spans="25:26" ht="26.25">
      <c r="Y241" s="6"/>
      <c r="Z241" s="6"/>
    </row>
    <row r="242" spans="25:26" ht="26.25">
      <c r="Y242" s="6"/>
      <c r="Z242" s="6"/>
    </row>
    <row r="243" spans="25:26" ht="26.25">
      <c r="Y243" s="6"/>
      <c r="Z243" s="6"/>
    </row>
    <row r="244" spans="25:26" ht="26.25">
      <c r="Y244" s="6"/>
      <c r="Z244" s="6"/>
    </row>
    <row r="245" spans="25:26" ht="26.25">
      <c r="Y245" s="6"/>
      <c r="Z245" s="6"/>
    </row>
    <row r="246" spans="25:26" ht="26.25">
      <c r="Y246" s="6"/>
      <c r="Z246" s="6"/>
    </row>
    <row r="247" spans="25:26" ht="26.25">
      <c r="Y247" s="6"/>
      <c r="Z247" s="6"/>
    </row>
    <row r="248" spans="25:26" ht="26.25">
      <c r="Y248" s="6"/>
      <c r="Z248" s="6"/>
    </row>
    <row r="249" spans="25:26" ht="26.25">
      <c r="Y249" s="6"/>
      <c r="Z249" s="6"/>
    </row>
    <row r="250" spans="25:26" ht="26.25">
      <c r="Y250" s="6"/>
      <c r="Z250" s="6"/>
    </row>
    <row r="251" spans="25:26" ht="26.25">
      <c r="Y251" s="6"/>
      <c r="Z251" s="6"/>
    </row>
    <row r="252" spans="25:26" ht="26.25">
      <c r="Y252" s="6"/>
      <c r="Z252" s="6"/>
    </row>
    <row r="253" spans="25:26" ht="26.25">
      <c r="Y253" s="6"/>
      <c r="Z253" s="6"/>
    </row>
    <row r="254" spans="25:26" ht="26.25">
      <c r="Y254" s="6"/>
      <c r="Z254" s="6"/>
    </row>
    <row r="255" spans="25:26" ht="26.25">
      <c r="Y255" s="6"/>
      <c r="Z255" s="6"/>
    </row>
    <row r="256" spans="25:26" ht="26.25">
      <c r="Y256" s="6"/>
      <c r="Z256" s="6"/>
    </row>
    <row r="257" spans="25:26" ht="26.25">
      <c r="Y257" s="6"/>
      <c r="Z257" s="6"/>
    </row>
    <row r="258" spans="25:26" ht="26.25">
      <c r="Y258" s="6"/>
      <c r="Z258" s="6"/>
    </row>
    <row r="259" spans="25:26" ht="26.25">
      <c r="Y259" s="6"/>
      <c r="Z259" s="6"/>
    </row>
    <row r="260" spans="25:26" ht="26.25">
      <c r="Y260" s="6"/>
      <c r="Z260" s="6"/>
    </row>
    <row r="261" spans="25:26" ht="26.25">
      <c r="Y261" s="6"/>
      <c r="Z261" s="6"/>
    </row>
    <row r="262" spans="25:26" ht="26.25">
      <c r="Y262" s="6"/>
      <c r="Z262" s="6"/>
    </row>
    <row r="263" spans="25:26" ht="26.25">
      <c r="Y263" s="6"/>
      <c r="Z263" s="6"/>
    </row>
    <row r="264" spans="25:26" ht="26.25">
      <c r="Y264" s="6"/>
      <c r="Z264" s="6"/>
    </row>
    <row r="265" spans="25:26" ht="26.25">
      <c r="Y265" s="6"/>
      <c r="Z265" s="6"/>
    </row>
    <row r="266" spans="25:26" ht="26.25">
      <c r="Y266" s="6"/>
      <c r="Z266" s="6"/>
    </row>
    <row r="267" spans="25:26" ht="26.25">
      <c r="Y267" s="6"/>
      <c r="Z267" s="6"/>
    </row>
    <row r="268" spans="25:26" ht="26.25">
      <c r="Y268" s="6"/>
      <c r="Z268" s="6"/>
    </row>
    <row r="269" spans="25:26" ht="26.25">
      <c r="Y269" s="6"/>
      <c r="Z269" s="6"/>
    </row>
    <row r="270" spans="25:26" ht="26.25">
      <c r="Y270" s="6"/>
      <c r="Z270" s="6"/>
    </row>
    <row r="271" spans="25:26" ht="26.25">
      <c r="Y271" s="6"/>
      <c r="Z271" s="6"/>
    </row>
    <row r="272" spans="25:26" ht="26.25">
      <c r="Y272" s="6"/>
      <c r="Z272" s="6"/>
    </row>
    <row r="273" spans="25:26" ht="26.25">
      <c r="Y273" s="6"/>
      <c r="Z273" s="6"/>
    </row>
    <row r="274" spans="25:26" ht="26.25">
      <c r="Y274" s="6"/>
      <c r="Z274" s="6"/>
    </row>
    <row r="275" spans="25:26" ht="26.25">
      <c r="Y275" s="6"/>
      <c r="Z275" s="6"/>
    </row>
    <row r="276" spans="25:26" ht="26.25">
      <c r="Y276" s="6"/>
      <c r="Z276" s="6"/>
    </row>
    <row r="277" spans="25:26" ht="26.25">
      <c r="Y277" s="6"/>
      <c r="Z277" s="6"/>
    </row>
    <row r="278" spans="25:26" ht="26.25">
      <c r="Y278" s="6"/>
      <c r="Z278" s="6"/>
    </row>
    <row r="279" spans="25:26" ht="26.25">
      <c r="Y279" s="6"/>
      <c r="Z279" s="6"/>
    </row>
    <row r="280" spans="25:26" ht="26.25">
      <c r="Y280" s="6"/>
      <c r="Z280" s="6"/>
    </row>
    <row r="281" spans="25:26" ht="26.25">
      <c r="Y281" s="6"/>
      <c r="Z281" s="6"/>
    </row>
    <row r="282" spans="25:26" ht="26.25">
      <c r="Y282" s="6"/>
      <c r="Z282" s="6"/>
    </row>
    <row r="283" spans="25:26" ht="26.25">
      <c r="Y283" s="6"/>
      <c r="Z283" s="6"/>
    </row>
    <row r="284" spans="25:26" ht="26.25">
      <c r="Y284" s="6"/>
      <c r="Z284" s="6"/>
    </row>
    <row r="285" spans="25:26" ht="26.25">
      <c r="Y285" s="6"/>
      <c r="Z285" s="6"/>
    </row>
    <row r="286" spans="25:26" ht="26.25">
      <c r="Y286" s="6"/>
      <c r="Z286" s="6"/>
    </row>
    <row r="287" spans="25:26" ht="26.25">
      <c r="Y287" s="6"/>
      <c r="Z287" s="6"/>
    </row>
    <row r="288" spans="25:26" ht="26.25">
      <c r="Y288" s="6"/>
      <c r="Z288" s="6"/>
    </row>
    <row r="289" spans="25:26" ht="26.25">
      <c r="Y289" s="6"/>
      <c r="Z289" s="6"/>
    </row>
    <row r="290" spans="25:26" ht="26.25">
      <c r="Y290" s="6"/>
      <c r="Z290" s="6"/>
    </row>
    <row r="291" spans="25:26" ht="26.25">
      <c r="Y291" s="6"/>
      <c r="Z291" s="6"/>
    </row>
    <row r="292" spans="25:26" ht="26.25">
      <c r="Y292" s="6"/>
      <c r="Z292" s="6"/>
    </row>
    <row r="293" spans="25:26" ht="26.25">
      <c r="Y293" s="6"/>
      <c r="Z293" s="6"/>
    </row>
    <row r="294" spans="25:26" ht="26.25">
      <c r="Y294" s="6"/>
      <c r="Z294" s="6"/>
    </row>
    <row r="295" spans="25:26" ht="26.25">
      <c r="Y295" s="6"/>
      <c r="Z295" s="6"/>
    </row>
    <row r="296" spans="25:26" ht="26.25">
      <c r="Y296" s="6"/>
      <c r="Z296" s="6"/>
    </row>
    <row r="297" spans="25:26" ht="26.25">
      <c r="Y297" s="6"/>
      <c r="Z297" s="6"/>
    </row>
    <row r="298" spans="25:26" ht="26.25">
      <c r="Y298" s="6"/>
      <c r="Z298" s="6"/>
    </row>
    <row r="299" spans="25:26" ht="26.25">
      <c r="Y299" s="6"/>
      <c r="Z299" s="6"/>
    </row>
    <row r="300" spans="25:26" ht="26.25">
      <c r="Y300" s="6"/>
      <c r="Z300" s="6"/>
    </row>
    <row r="301" spans="25:26" ht="26.25">
      <c r="Y301" s="6"/>
      <c r="Z301" s="6"/>
    </row>
    <row r="302" spans="25:26" ht="26.25">
      <c r="Y302" s="6"/>
      <c r="Z302" s="6"/>
    </row>
    <row r="303" spans="25:26" ht="26.25">
      <c r="Y303" s="6"/>
      <c r="Z303" s="6"/>
    </row>
    <row r="304" spans="25:26" ht="26.25">
      <c r="Y304" s="6"/>
      <c r="Z304" s="6"/>
    </row>
    <row r="305" spans="25:26" ht="26.25">
      <c r="Y305" s="6"/>
      <c r="Z305" s="6"/>
    </row>
    <row r="306" spans="25:26" ht="26.25">
      <c r="Y306" s="6"/>
      <c r="Z306" s="6"/>
    </row>
    <row r="307" spans="25:26" ht="26.25">
      <c r="Y307" s="6"/>
      <c r="Z307" s="6"/>
    </row>
    <row r="308" spans="25:26" ht="26.25">
      <c r="Y308" s="6"/>
      <c r="Z308" s="6"/>
    </row>
    <row r="309" spans="25:26" ht="26.25">
      <c r="Y309" s="6"/>
      <c r="Z309" s="6"/>
    </row>
    <row r="310" spans="25:26" ht="26.25">
      <c r="Y310" s="6"/>
      <c r="Z310" s="6"/>
    </row>
    <row r="311" spans="25:26" ht="26.25">
      <c r="Y311" s="6"/>
      <c r="Z311" s="6"/>
    </row>
    <row r="312" spans="25:26" ht="26.25">
      <c r="Y312" s="6"/>
      <c r="Z312" s="6"/>
    </row>
    <row r="313" spans="25:26" ht="26.25">
      <c r="Y313" s="6"/>
      <c r="Z313" s="6"/>
    </row>
    <row r="314" spans="25:26" ht="26.25">
      <c r="Y314" s="6"/>
      <c r="Z314" s="6"/>
    </row>
    <row r="315" spans="25:26" ht="26.25">
      <c r="Y315" s="6"/>
      <c r="Z315" s="6"/>
    </row>
    <row r="316" spans="25:26" ht="26.25">
      <c r="Y316" s="6"/>
      <c r="Z316" s="6"/>
    </row>
    <row r="317" spans="25:26" ht="26.25">
      <c r="Y317" s="6"/>
      <c r="Z317" s="6"/>
    </row>
    <row r="318" spans="25:26" ht="26.25">
      <c r="Y318" s="6"/>
      <c r="Z318" s="6"/>
    </row>
    <row r="319" spans="25:26" ht="26.25">
      <c r="Y319" s="6"/>
      <c r="Z319" s="6"/>
    </row>
    <row r="320" spans="25:26" ht="26.25">
      <c r="Y320" s="6"/>
      <c r="Z320" s="6"/>
    </row>
    <row r="321" spans="25:26" ht="26.25">
      <c r="Y321" s="6"/>
      <c r="Z321" s="6"/>
    </row>
    <row r="322" spans="25:26" ht="26.25">
      <c r="Y322" s="6"/>
      <c r="Z322" s="6"/>
    </row>
    <row r="323" spans="25:26" ht="26.25">
      <c r="Y323" s="6"/>
      <c r="Z323" s="6"/>
    </row>
    <row r="324" spans="25:26" ht="26.25">
      <c r="Y324" s="6"/>
      <c r="Z324" s="6"/>
    </row>
    <row r="325" spans="25:26" ht="26.25">
      <c r="Y325" s="6"/>
      <c r="Z325" s="6"/>
    </row>
    <row r="326" spans="25:26" ht="26.25">
      <c r="Y326" s="6"/>
      <c r="Z326" s="6"/>
    </row>
    <row r="327" spans="25:26" ht="26.25">
      <c r="Y327" s="6"/>
      <c r="Z327" s="6"/>
    </row>
    <row r="328" spans="25:26" ht="26.25">
      <c r="Y328" s="6"/>
      <c r="Z328" s="6"/>
    </row>
    <row r="329" spans="25:26" ht="26.25">
      <c r="Y329" s="6"/>
      <c r="Z329" s="6"/>
    </row>
    <row r="330" spans="25:26" ht="26.25">
      <c r="Y330" s="6"/>
      <c r="Z330" s="6"/>
    </row>
    <row r="331" spans="25:26" ht="26.25">
      <c r="Y331" s="6"/>
      <c r="Z331" s="6"/>
    </row>
    <row r="332" spans="25:26" ht="26.25">
      <c r="Y332" s="6"/>
      <c r="Z332" s="6"/>
    </row>
    <row r="333" spans="25:26" ht="26.25">
      <c r="Y333" s="6"/>
      <c r="Z333" s="6"/>
    </row>
    <row r="334" spans="25:26" ht="26.25">
      <c r="Y334" s="6"/>
      <c r="Z334" s="6"/>
    </row>
    <row r="335" spans="25:26" ht="26.25">
      <c r="Y335" s="6"/>
      <c r="Z335" s="6"/>
    </row>
    <row r="336" spans="25:26" ht="26.25">
      <c r="Y336" s="6"/>
      <c r="Z336" s="6"/>
    </row>
    <row r="337" spans="25:26" ht="26.25">
      <c r="Y337" s="6"/>
      <c r="Z337" s="6"/>
    </row>
    <row r="338" spans="25:26" ht="26.25">
      <c r="Y338" s="6"/>
      <c r="Z338" s="6"/>
    </row>
    <row r="339" spans="25:26" ht="26.25">
      <c r="Y339" s="6"/>
      <c r="Z339" s="6"/>
    </row>
    <row r="340" spans="25:26" ht="26.25">
      <c r="Y340" s="6"/>
      <c r="Z340" s="6"/>
    </row>
    <row r="341" spans="25:26" ht="26.25">
      <c r="Y341" s="6"/>
      <c r="Z341" s="6"/>
    </row>
    <row r="342" spans="25:26" ht="26.25">
      <c r="Y342" s="6"/>
      <c r="Z342" s="6"/>
    </row>
    <row r="343" spans="25:26" ht="26.25">
      <c r="Y343" s="6"/>
      <c r="Z343" s="6"/>
    </row>
    <row r="344" spans="25:26" ht="26.25">
      <c r="Y344" s="6"/>
      <c r="Z344" s="6"/>
    </row>
    <row r="345" spans="25:26" ht="26.25">
      <c r="Y345" s="6"/>
      <c r="Z345" s="6"/>
    </row>
    <row r="346" spans="25:26" ht="26.25">
      <c r="Y346" s="6"/>
      <c r="Z346" s="6"/>
    </row>
    <row r="347" spans="25:26" ht="26.25">
      <c r="Y347" s="6"/>
      <c r="Z347" s="6"/>
    </row>
    <row r="348" spans="25:26" ht="26.25">
      <c r="Y348" s="6"/>
      <c r="Z348" s="6"/>
    </row>
    <row r="349" spans="25:26" ht="26.25">
      <c r="Y349" s="6"/>
      <c r="Z349" s="6"/>
    </row>
    <row r="350" spans="25:26" ht="26.25">
      <c r="Y350" s="6"/>
      <c r="Z350" s="6"/>
    </row>
    <row r="351" spans="25:26" ht="26.25">
      <c r="Y351" s="6"/>
      <c r="Z351" s="6"/>
    </row>
    <row r="352" spans="25:26" ht="26.25">
      <c r="Y352" s="6"/>
      <c r="Z352" s="6"/>
    </row>
    <row r="353" spans="25:26" ht="26.25">
      <c r="Y353" s="6"/>
      <c r="Z353" s="6"/>
    </row>
    <row r="354" spans="25:26" ht="26.25">
      <c r="Y354" s="6"/>
      <c r="Z354" s="6"/>
    </row>
    <row r="355" spans="25:26" ht="26.25">
      <c r="Y355" s="6"/>
      <c r="Z355" s="6"/>
    </row>
    <row r="356" spans="25:26" ht="26.25">
      <c r="Y356" s="6"/>
      <c r="Z356" s="6"/>
    </row>
    <row r="357" spans="25:26" ht="26.25">
      <c r="Y357" s="6"/>
      <c r="Z357" s="6"/>
    </row>
    <row r="358" spans="25:26" ht="26.25">
      <c r="Y358" s="6"/>
      <c r="Z358" s="6"/>
    </row>
    <row r="359" spans="25:26" ht="26.25">
      <c r="Y359" s="6"/>
      <c r="Z359" s="6"/>
    </row>
    <row r="360" spans="25:26" ht="26.25">
      <c r="Y360" s="6"/>
      <c r="Z360" s="6"/>
    </row>
    <row r="361" spans="25:26" ht="26.25">
      <c r="Y361" s="6"/>
      <c r="Z361" s="6"/>
    </row>
    <row r="362" spans="25:26" ht="26.25">
      <c r="Y362" s="6"/>
      <c r="Z362" s="6"/>
    </row>
    <row r="363" spans="25:26" ht="26.25">
      <c r="Y363" s="6"/>
      <c r="Z363" s="6"/>
    </row>
    <row r="364" spans="25:26" ht="26.25">
      <c r="Y364" s="6"/>
      <c r="Z364" s="6"/>
    </row>
    <row r="365" spans="25:26" ht="26.25">
      <c r="Y365" s="6"/>
      <c r="Z365" s="6"/>
    </row>
    <row r="366" spans="25:26" ht="26.25">
      <c r="Y366" s="6"/>
      <c r="Z366" s="6"/>
    </row>
    <row r="367" spans="25:26" ht="26.25">
      <c r="Y367" s="6"/>
      <c r="Z367" s="6"/>
    </row>
    <row r="368" spans="25:26" ht="26.25">
      <c r="Y368" s="6"/>
      <c r="Z368" s="6"/>
    </row>
    <row r="369" spans="25:26" ht="26.25">
      <c r="Y369" s="6"/>
      <c r="Z369" s="6"/>
    </row>
    <row r="370" spans="25:26" ht="26.25">
      <c r="Y370" s="6"/>
      <c r="Z370" s="6"/>
    </row>
    <row r="371" spans="25:26" ht="26.25">
      <c r="Y371" s="6"/>
      <c r="Z371" s="6"/>
    </row>
    <row r="372" spans="25:26" ht="26.25">
      <c r="Y372" s="6"/>
      <c r="Z372" s="6"/>
    </row>
    <row r="373" spans="25:26" ht="26.25">
      <c r="Y373" s="6"/>
      <c r="Z373" s="6"/>
    </row>
    <row r="374" spans="25:26" ht="26.25">
      <c r="Y374" s="6"/>
      <c r="Z374" s="6"/>
    </row>
    <row r="375" spans="25:26" ht="26.25">
      <c r="Y375" s="6"/>
      <c r="Z375" s="6"/>
    </row>
    <row r="376" spans="25:26" ht="26.25">
      <c r="Y376" s="6"/>
      <c r="Z376" s="6"/>
    </row>
    <row r="377" spans="25:26" ht="26.25">
      <c r="Y377" s="6"/>
      <c r="Z377" s="6"/>
    </row>
    <row r="378" spans="25:26" ht="26.25">
      <c r="Y378" s="6"/>
      <c r="Z378" s="6"/>
    </row>
    <row r="379" spans="25:26" ht="26.25">
      <c r="Y379" s="6"/>
      <c r="Z379" s="6"/>
    </row>
    <row r="380" spans="25:26" ht="26.25">
      <c r="Y380" s="6"/>
      <c r="Z380" s="6"/>
    </row>
    <row r="381" spans="25:26" ht="26.25">
      <c r="Y381" s="6"/>
      <c r="Z381" s="6"/>
    </row>
    <row r="382" spans="25:26" ht="26.25">
      <c r="Y382" s="6"/>
      <c r="Z382" s="6"/>
    </row>
    <row r="383" spans="25:26" ht="26.25">
      <c r="Y383" s="6"/>
      <c r="Z383" s="6"/>
    </row>
    <row r="384" spans="25:26" ht="26.25">
      <c r="Y384" s="6"/>
      <c r="Z384" s="6"/>
    </row>
    <row r="385" spans="25:26" ht="26.25">
      <c r="Y385" s="6"/>
      <c r="Z385" s="6"/>
    </row>
    <row r="386" spans="25:26" ht="26.25">
      <c r="Y386" s="6"/>
      <c r="Z386" s="6"/>
    </row>
    <row r="387" spans="25:26" ht="26.25">
      <c r="Y387" s="6"/>
      <c r="Z387" s="6"/>
    </row>
    <row r="388" spans="25:26" ht="26.25">
      <c r="Y388" s="6"/>
      <c r="Z388" s="6"/>
    </row>
    <row r="389" spans="25:26" ht="26.25">
      <c r="Y389" s="6"/>
      <c r="Z389" s="6"/>
    </row>
    <row r="390" spans="25:26" ht="26.25">
      <c r="Y390" s="6"/>
      <c r="Z390" s="6"/>
    </row>
    <row r="391" spans="25:26" ht="26.25">
      <c r="Y391" s="6"/>
      <c r="Z391" s="6"/>
    </row>
    <row r="392" spans="25:26" ht="26.25">
      <c r="Y392" s="6"/>
      <c r="Z392" s="6"/>
    </row>
    <row r="393" spans="25:26" ht="26.25">
      <c r="Y393" s="6"/>
      <c r="Z393" s="6"/>
    </row>
    <row r="394" spans="25:26" ht="26.25">
      <c r="Y394" s="6"/>
      <c r="Z394" s="6"/>
    </row>
    <row r="395" spans="25:26" ht="26.25">
      <c r="Y395" s="6"/>
      <c r="Z395" s="6"/>
    </row>
    <row r="396" spans="25:26" ht="26.25">
      <c r="Y396" s="6"/>
      <c r="Z396" s="6"/>
    </row>
    <row r="397" spans="25:26" ht="26.25">
      <c r="Y397" s="6"/>
      <c r="Z397" s="6"/>
    </row>
    <row r="398" spans="25:26" ht="26.25">
      <c r="Y398" s="6"/>
      <c r="Z398" s="6"/>
    </row>
    <row r="399" spans="25:26" ht="26.25">
      <c r="Y399" s="6"/>
      <c r="Z399" s="6"/>
    </row>
    <row r="400" spans="25:26" ht="26.25">
      <c r="Y400" s="6"/>
      <c r="Z400" s="6"/>
    </row>
    <row r="401" spans="25:26" ht="26.25">
      <c r="Y401" s="6"/>
      <c r="Z401" s="6"/>
    </row>
    <row r="402" spans="25:26" ht="26.25">
      <c r="Y402" s="6"/>
      <c r="Z402" s="6"/>
    </row>
    <row r="403" spans="25:26" ht="26.25">
      <c r="Y403" s="6"/>
      <c r="Z403" s="6"/>
    </row>
    <row r="404" spans="25:26" ht="26.25">
      <c r="Y404" s="6"/>
      <c r="Z404" s="6"/>
    </row>
    <row r="405" spans="25:26" ht="26.25">
      <c r="Y405" s="6"/>
      <c r="Z405" s="6"/>
    </row>
    <row r="406" spans="25:26" ht="26.25">
      <c r="Y406" s="6"/>
      <c r="Z406" s="6"/>
    </row>
    <row r="407" spans="25:26" ht="26.25">
      <c r="Y407" s="6"/>
      <c r="Z407" s="6"/>
    </row>
    <row r="408" spans="25:26" ht="26.25">
      <c r="Y408" s="6"/>
      <c r="Z408" s="6"/>
    </row>
    <row r="409" spans="25:26" ht="26.25">
      <c r="Y409" s="6"/>
      <c r="Z409" s="6"/>
    </row>
    <row r="410" spans="25:26" ht="26.25">
      <c r="Y410" s="6"/>
      <c r="Z410" s="6"/>
    </row>
    <row r="411" spans="25:26" ht="26.25">
      <c r="Y411" s="6"/>
      <c r="Z411" s="6"/>
    </row>
    <row r="412" spans="25:26" ht="26.25">
      <c r="Y412" s="6"/>
      <c r="Z412" s="6"/>
    </row>
    <row r="413" spans="25:26" ht="26.25">
      <c r="Y413" s="6"/>
      <c r="Z413" s="6"/>
    </row>
    <row r="414" spans="25:26" ht="26.25">
      <c r="Y414" s="6"/>
      <c r="Z414" s="6"/>
    </row>
    <row r="415" spans="25:26" ht="26.25">
      <c r="Y415" s="6"/>
      <c r="Z415" s="6"/>
    </row>
    <row r="416" spans="25:26" ht="26.25">
      <c r="Y416" s="6"/>
      <c r="Z416" s="6"/>
    </row>
    <row r="417" spans="25:26" ht="26.25">
      <c r="Y417" s="6"/>
      <c r="Z417" s="6"/>
    </row>
    <row r="418" spans="25:26" ht="26.25">
      <c r="Y418" s="6"/>
      <c r="Z418" s="6"/>
    </row>
    <row r="419" spans="25:26" ht="26.25">
      <c r="Y419" s="6"/>
      <c r="Z419" s="6"/>
    </row>
    <row r="420" spans="25:26" ht="26.25">
      <c r="Y420" s="6"/>
      <c r="Z420" s="6"/>
    </row>
    <row r="421" spans="25:26" ht="26.25">
      <c r="Y421" s="6"/>
      <c r="Z421" s="6"/>
    </row>
    <row r="422" spans="25:26" ht="26.25">
      <c r="Y422" s="6"/>
      <c r="Z422" s="6"/>
    </row>
    <row r="423" spans="25:26" ht="26.25">
      <c r="Y423" s="6"/>
      <c r="Z423" s="6"/>
    </row>
    <row r="424" spans="25:26" ht="26.25">
      <c r="Y424" s="6"/>
      <c r="Z424" s="6"/>
    </row>
    <row r="425" spans="25:26" ht="26.25">
      <c r="Y425" s="6"/>
      <c r="Z425" s="6"/>
    </row>
    <row r="426" spans="25:26" ht="26.25">
      <c r="Y426" s="6"/>
      <c r="Z426" s="6"/>
    </row>
    <row r="427" spans="25:26" ht="26.25">
      <c r="Y427" s="6"/>
      <c r="Z427" s="6"/>
    </row>
    <row r="428" spans="25:26" ht="26.25">
      <c r="Y428" s="6"/>
      <c r="Z428" s="6"/>
    </row>
    <row r="429" spans="25:26" ht="26.25">
      <c r="Y429" s="6"/>
      <c r="Z429" s="6"/>
    </row>
    <row r="430" spans="25:26" ht="26.25">
      <c r="Y430" s="6"/>
      <c r="Z430" s="6"/>
    </row>
    <row r="431" spans="25:26" ht="26.25">
      <c r="Y431" s="6"/>
      <c r="Z431" s="6"/>
    </row>
    <row r="432" spans="25:26" ht="26.25">
      <c r="Y432" s="6"/>
      <c r="Z432" s="6"/>
    </row>
    <row r="433" spans="25:26" ht="26.25">
      <c r="Y433" s="6"/>
      <c r="Z433" s="6"/>
    </row>
    <row r="434" spans="25:26" ht="26.25">
      <c r="Y434" s="6"/>
      <c r="Z434" s="6"/>
    </row>
    <row r="435" spans="25:26" ht="26.25">
      <c r="Y435" s="6"/>
      <c r="Z435" s="6"/>
    </row>
    <row r="436" spans="25:26" ht="26.25">
      <c r="Y436" s="6"/>
      <c r="Z436" s="6"/>
    </row>
    <row r="437" spans="25:26" ht="26.25">
      <c r="Y437" s="6"/>
      <c r="Z437" s="6"/>
    </row>
    <row r="438" spans="25:26" ht="26.25">
      <c r="Y438" s="6"/>
      <c r="Z438" s="6"/>
    </row>
    <row r="439" spans="25:26" ht="26.25">
      <c r="Y439" s="6"/>
      <c r="Z439" s="6"/>
    </row>
    <row r="440" spans="25:26" ht="26.25">
      <c r="Y440" s="6"/>
      <c r="Z440" s="6"/>
    </row>
    <row r="441" spans="25:26" ht="26.25">
      <c r="Y441" s="6"/>
      <c r="Z441" s="6"/>
    </row>
    <row r="442" spans="25:26" ht="26.25">
      <c r="Y442" s="6"/>
      <c r="Z442" s="6"/>
    </row>
    <row r="443" spans="25:26" ht="26.25">
      <c r="Y443" s="6"/>
      <c r="Z443" s="6"/>
    </row>
    <row r="444" spans="25:26" ht="26.25">
      <c r="Y444" s="6"/>
      <c r="Z444" s="6"/>
    </row>
    <row r="445" spans="25:26" ht="26.25">
      <c r="Y445" s="6"/>
      <c r="Z445" s="6"/>
    </row>
    <row r="446" spans="25:26" ht="26.25">
      <c r="Y446" s="6"/>
      <c r="Z446" s="6"/>
    </row>
    <row r="447" spans="25:26" ht="26.25">
      <c r="Y447" s="6"/>
      <c r="Z447" s="6"/>
    </row>
    <row r="448" spans="25:26" ht="26.25">
      <c r="Y448" s="6"/>
      <c r="Z448" s="6"/>
    </row>
    <row r="449" spans="25:26" ht="26.25">
      <c r="Y449" s="6"/>
      <c r="Z449" s="6"/>
    </row>
    <row r="450" spans="25:26" ht="26.25">
      <c r="Y450" s="6"/>
      <c r="Z450" s="6"/>
    </row>
    <row r="451" spans="25:26" ht="26.25">
      <c r="Y451" s="6"/>
      <c r="Z451" s="6"/>
    </row>
    <row r="452" spans="25:26" ht="26.25">
      <c r="Y452" s="6"/>
      <c r="Z452" s="6"/>
    </row>
    <row r="453" spans="25:26" ht="26.25">
      <c r="Y453" s="6"/>
      <c r="Z453" s="6"/>
    </row>
    <row r="454" spans="25:26" ht="26.25">
      <c r="Y454" s="6"/>
      <c r="Z454" s="6"/>
    </row>
    <row r="455" spans="25:26" ht="26.25">
      <c r="Y455" s="6"/>
      <c r="Z455" s="6"/>
    </row>
    <row r="456" spans="25:26" ht="26.25">
      <c r="Y456" s="6"/>
      <c r="Z456" s="6"/>
    </row>
    <row r="457" spans="25:26" ht="26.25">
      <c r="Y457" s="6"/>
      <c r="Z457" s="6"/>
    </row>
    <row r="458" spans="25:26" ht="26.25">
      <c r="Y458" s="6"/>
      <c r="Z458" s="6"/>
    </row>
    <row r="459" spans="25:26" ht="26.25">
      <c r="Y459" s="6"/>
      <c r="Z459" s="6"/>
    </row>
    <row r="460" spans="25:26" ht="26.25">
      <c r="Y460" s="6"/>
      <c r="Z460" s="6"/>
    </row>
    <row r="461" spans="25:26" ht="26.25">
      <c r="Y461" s="6"/>
      <c r="Z461" s="6"/>
    </row>
    <row r="462" spans="25:26" ht="26.25">
      <c r="Y462" s="6"/>
      <c r="Z462" s="6"/>
    </row>
    <row r="463" spans="25:26" ht="26.25">
      <c r="Y463" s="6"/>
      <c r="Z463" s="6"/>
    </row>
    <row r="464" spans="25:26" ht="26.25">
      <c r="Y464" s="6"/>
      <c r="Z464" s="6"/>
    </row>
    <row r="465" spans="25:26" ht="26.25">
      <c r="Y465" s="6"/>
      <c r="Z465" s="6"/>
    </row>
    <row r="466" spans="25:26" ht="26.25">
      <c r="Y466" s="6"/>
      <c r="Z466" s="6"/>
    </row>
    <row r="467" spans="25:26" ht="26.25">
      <c r="Y467" s="6"/>
      <c r="Z467" s="6"/>
    </row>
    <row r="468" spans="25:26" ht="26.25">
      <c r="Y468" s="6"/>
      <c r="Z468" s="6"/>
    </row>
    <row r="469" spans="25:26" ht="26.25">
      <c r="Y469" s="6"/>
      <c r="Z469" s="6"/>
    </row>
    <row r="470" spans="25:26" ht="26.25">
      <c r="Y470" s="6"/>
      <c r="Z470" s="6"/>
    </row>
    <row r="471" spans="25:26" ht="26.25">
      <c r="Y471" s="6"/>
      <c r="Z471" s="6"/>
    </row>
    <row r="472" spans="25:26" ht="26.25">
      <c r="Y472" s="6"/>
      <c r="Z472" s="6"/>
    </row>
    <row r="473" spans="25:26" ht="26.25">
      <c r="Y473" s="6"/>
      <c r="Z473" s="6"/>
    </row>
    <row r="474" spans="25:26" ht="26.25">
      <c r="Y474" s="6"/>
      <c r="Z474" s="6"/>
    </row>
    <row r="475" spans="25:26" ht="26.25">
      <c r="Y475" s="6"/>
      <c r="Z475" s="6"/>
    </row>
    <row r="476" spans="25:26" ht="26.25">
      <c r="Y476" s="6"/>
      <c r="Z476" s="6"/>
    </row>
    <row r="477" spans="25:26" ht="26.25">
      <c r="Y477" s="6"/>
      <c r="Z477" s="6"/>
    </row>
    <row r="478" spans="25:26" ht="26.25">
      <c r="Y478" s="6"/>
      <c r="Z478" s="6"/>
    </row>
    <row r="479" spans="25:26" ht="26.25">
      <c r="Y479" s="6"/>
      <c r="Z479" s="6"/>
    </row>
    <row r="480" spans="25:26" ht="26.25">
      <c r="Y480" s="6"/>
      <c r="Z480" s="6"/>
    </row>
    <row r="481" spans="25:26" ht="26.25">
      <c r="Y481" s="6"/>
      <c r="Z481" s="6"/>
    </row>
    <row r="482" spans="25:26" ht="26.25">
      <c r="Y482" s="6"/>
      <c r="Z482" s="6"/>
    </row>
    <row r="483" spans="25:26" ht="26.25">
      <c r="Y483" s="6"/>
      <c r="Z483" s="6"/>
    </row>
    <row r="484" spans="25:26" ht="26.25">
      <c r="Y484" s="6"/>
      <c r="Z484" s="6"/>
    </row>
    <row r="485" spans="25:26" ht="26.25">
      <c r="Y485" s="6"/>
      <c r="Z485" s="6"/>
    </row>
    <row r="486" spans="25:26" ht="26.25">
      <c r="Y486" s="6"/>
      <c r="Z486" s="6"/>
    </row>
    <row r="487" spans="25:26" ht="26.25">
      <c r="Y487" s="6"/>
      <c r="Z487" s="6"/>
    </row>
    <row r="488" spans="25:26" ht="26.25">
      <c r="Y488" s="6"/>
      <c r="Z488" s="6"/>
    </row>
    <row r="489" spans="25:26" ht="26.25">
      <c r="Y489" s="6"/>
      <c r="Z489" s="6"/>
    </row>
    <row r="490" spans="25:26" ht="26.25">
      <c r="Y490" s="6"/>
      <c r="Z490" s="6"/>
    </row>
    <row r="491" spans="25:26" ht="26.25">
      <c r="Y491" s="6"/>
      <c r="Z491" s="6"/>
    </row>
    <row r="492" spans="25:26" ht="26.25">
      <c r="Y492" s="6"/>
      <c r="Z492" s="6"/>
    </row>
    <row r="493" spans="25:26" ht="26.25">
      <c r="Y493" s="6"/>
      <c r="Z493" s="6"/>
    </row>
    <row r="494" spans="25:26" ht="26.25">
      <c r="Y494" s="6"/>
      <c r="Z494" s="6"/>
    </row>
    <row r="495" spans="25:26" ht="26.25">
      <c r="Y495" s="6"/>
      <c r="Z495" s="6"/>
    </row>
    <row r="496" spans="25:26" ht="26.25">
      <c r="Y496" s="6"/>
      <c r="Z496" s="6"/>
    </row>
    <row r="497" spans="25:26" ht="26.25">
      <c r="Y497" s="6"/>
      <c r="Z497" s="6"/>
    </row>
    <row r="498" spans="25:26" ht="26.25">
      <c r="Y498" s="6"/>
      <c r="Z498" s="6"/>
    </row>
    <row r="499" spans="25:26" ht="26.25">
      <c r="Y499" s="6"/>
      <c r="Z499" s="6"/>
    </row>
    <row r="500" spans="25:26" ht="26.25">
      <c r="Y500" s="6"/>
      <c r="Z500" s="6"/>
    </row>
    <row r="501" spans="25:26" ht="26.25">
      <c r="Y501" s="6"/>
      <c r="Z501" s="6"/>
    </row>
    <row r="502" spans="25:26" ht="26.25">
      <c r="Y502" s="6"/>
      <c r="Z502" s="6"/>
    </row>
    <row r="503" spans="25:26" ht="26.25">
      <c r="Y503" s="6"/>
      <c r="Z503" s="6"/>
    </row>
    <row r="504" spans="25:26" ht="26.25">
      <c r="Y504" s="6"/>
      <c r="Z504" s="6"/>
    </row>
    <row r="505" spans="25:26" ht="26.25">
      <c r="Y505" s="6"/>
      <c r="Z505" s="6"/>
    </row>
  </sheetData>
  <sheetProtection/>
  <mergeCells count="17">
    <mergeCell ref="A1:AP1"/>
    <mergeCell ref="A2:AP2"/>
    <mergeCell ref="A4:A5"/>
    <mergeCell ref="B4:B5"/>
    <mergeCell ref="C4:C5"/>
    <mergeCell ref="D4:I4"/>
    <mergeCell ref="K4:P4"/>
    <mergeCell ref="R4:W4"/>
    <mergeCell ref="Y4:AE4"/>
    <mergeCell ref="AF4:AL4"/>
    <mergeCell ref="BA49:BE49"/>
    <mergeCell ref="AM4:AS4"/>
    <mergeCell ref="AT4:AZ4"/>
    <mergeCell ref="B49:E49"/>
    <mergeCell ref="U49:V49"/>
    <mergeCell ref="AT49:AW49"/>
    <mergeCell ref="AY49:AZ49"/>
  </mergeCells>
  <printOptions/>
  <pageMargins left="0" right="0" top="0" bottom="0" header="0.1968503937007874" footer="0.2755905511811024"/>
  <pageSetup horizontalDpi="600" verticalDpi="600" orientation="landscape" paperSize="9" scale="25" r:id="rId1"/>
  <ignoredErrors>
    <ignoredError sqref="AM37 AM42:AM45 AF42 AG37 AF30 AJ27 AF22 AF15 AF10 AG19 AJ19 Y33 Y37 Y42 R42 R27 D42 D27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BM505"/>
  <sheetViews>
    <sheetView tabSelected="1" view="pageBreakPreview" zoomScale="50" zoomScaleSheetLayoutView="50" zoomScalePageLayoutView="0" workbookViewId="0" topLeftCell="A1">
      <pane xSplit="2" ySplit="6" topLeftCell="L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AP2"/>
    </sheetView>
  </sheetViews>
  <sheetFormatPr defaultColWidth="9.00390625" defaultRowHeight="12.75"/>
  <cols>
    <col min="1" max="1" width="11.125" style="5" customWidth="1"/>
    <col min="2" max="2" width="102.625" style="5" customWidth="1"/>
    <col min="3" max="3" width="15.75390625" style="5" hidden="1" customWidth="1"/>
    <col min="4" max="4" width="36.875" style="6" hidden="1" customWidth="1"/>
    <col min="5" max="5" width="33.875" style="92" hidden="1" customWidth="1"/>
    <col min="6" max="6" width="33.625" style="92" hidden="1" customWidth="1"/>
    <col min="7" max="7" width="30.625" style="92" hidden="1" customWidth="1"/>
    <col min="8" max="8" width="30.75390625" style="92" hidden="1" customWidth="1"/>
    <col min="9" max="9" width="28.75390625" style="92" hidden="1" customWidth="1"/>
    <col min="10" max="10" width="30.125" style="92" hidden="1" customWidth="1"/>
    <col min="11" max="11" width="27.125" style="6" hidden="1" customWidth="1"/>
    <col min="12" max="12" width="29.875" style="6" customWidth="1"/>
    <col min="13" max="13" width="28.00390625" style="6" customWidth="1"/>
    <col min="14" max="14" width="28.625" style="6" customWidth="1"/>
    <col min="15" max="15" width="27.75390625" style="6" customWidth="1"/>
    <col min="16" max="16" width="26.875" style="6" customWidth="1"/>
    <col min="17" max="17" width="27.375" style="6" customWidth="1"/>
    <col min="18" max="18" width="29.625" style="6" hidden="1" customWidth="1"/>
    <col min="19" max="19" width="26.75390625" style="6" hidden="1" customWidth="1"/>
    <col min="20" max="20" width="26.625" style="6" hidden="1" customWidth="1"/>
    <col min="21" max="21" width="25.625" style="6" hidden="1" customWidth="1"/>
    <col min="22" max="22" width="25.00390625" style="6" hidden="1" customWidth="1"/>
    <col min="23" max="23" width="26.625" style="6" hidden="1" customWidth="1"/>
    <col min="24" max="24" width="23.125" style="6" hidden="1" customWidth="1"/>
    <col min="25" max="25" width="24.75390625" style="95" hidden="1" customWidth="1"/>
    <col min="26" max="26" width="27.25390625" style="92" hidden="1" customWidth="1"/>
    <col min="27" max="27" width="24.75390625" style="92" hidden="1" customWidth="1"/>
    <col min="28" max="28" width="25.875" style="92" hidden="1" customWidth="1"/>
    <col min="29" max="29" width="24.375" style="92" hidden="1" customWidth="1"/>
    <col min="30" max="30" width="24.00390625" style="92" hidden="1" customWidth="1"/>
    <col min="31" max="31" width="21.75390625" style="92" hidden="1" customWidth="1"/>
    <col min="32" max="32" width="17.375" style="6" hidden="1" customWidth="1"/>
    <col min="33" max="33" width="17.75390625" style="6" hidden="1" customWidth="1"/>
    <col min="34" max="34" width="17.875" style="6" hidden="1" customWidth="1"/>
    <col min="35" max="35" width="17.00390625" style="6" hidden="1" customWidth="1"/>
    <col min="36" max="36" width="16.125" style="6" hidden="1" customWidth="1"/>
    <col min="37" max="37" width="17.25390625" style="6" hidden="1" customWidth="1"/>
    <col min="38" max="38" width="19.625" style="6" hidden="1" customWidth="1"/>
    <col min="39" max="39" width="26.875" style="6" hidden="1" customWidth="1"/>
    <col min="40" max="40" width="25.875" style="6" hidden="1" customWidth="1"/>
    <col min="41" max="41" width="26.875" style="6" hidden="1" customWidth="1"/>
    <col min="42" max="42" width="25.625" style="6" hidden="1" customWidth="1"/>
    <col min="43" max="43" width="25.00390625" style="6" hidden="1" customWidth="1"/>
    <col min="44" max="45" width="26.25390625" style="6" hidden="1" customWidth="1"/>
    <col min="46" max="46" width="25.625" style="93" hidden="1" customWidth="1"/>
    <col min="47" max="48" width="23.875" style="6" hidden="1" customWidth="1"/>
    <col min="49" max="49" width="26.125" style="6" hidden="1" customWidth="1"/>
    <col min="50" max="50" width="23.875" style="6" hidden="1" customWidth="1"/>
    <col min="51" max="52" width="25.375" style="6" hidden="1" customWidth="1"/>
    <col min="53" max="65" width="9.125" style="4" customWidth="1"/>
    <col min="66" max="16384" width="9.125" style="5" customWidth="1"/>
  </cols>
  <sheetData>
    <row r="1" spans="1:52" ht="99" customHeight="1">
      <c r="A1" s="234" t="s">
        <v>65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1"/>
      <c r="AR1" s="1"/>
      <c r="AS1" s="1"/>
      <c r="AT1" s="2"/>
      <c r="AU1" s="3"/>
      <c r="AV1" s="3"/>
      <c r="AW1" s="3"/>
      <c r="AX1" s="3"/>
      <c r="AY1" s="3"/>
      <c r="AZ1" s="3"/>
    </row>
    <row r="2" spans="1:52" ht="79.5" customHeight="1">
      <c r="A2" s="234" t="s">
        <v>70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1"/>
      <c r="AR2" s="1"/>
      <c r="AS2" s="1"/>
      <c r="AT2" s="2"/>
      <c r="AU2" s="3"/>
      <c r="AV2" s="3"/>
      <c r="AW2" s="3"/>
      <c r="AX2" s="3"/>
      <c r="AY2" s="3"/>
      <c r="AZ2" s="3"/>
    </row>
    <row r="3" spans="1:46" ht="11.25" customHeight="1" thickBot="1">
      <c r="A3" s="1"/>
      <c r="B3" s="1"/>
      <c r="D3" s="3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2"/>
    </row>
    <row r="4" spans="1:65" s="8" customFormat="1" ht="45.75" customHeight="1">
      <c r="A4" s="216"/>
      <c r="B4" s="218" t="s">
        <v>7</v>
      </c>
      <c r="C4" s="218" t="s">
        <v>69</v>
      </c>
      <c r="D4" s="209" t="s">
        <v>67</v>
      </c>
      <c r="E4" s="210"/>
      <c r="F4" s="210"/>
      <c r="G4" s="210"/>
      <c r="H4" s="210"/>
      <c r="I4" s="220"/>
      <c r="J4" s="111"/>
      <c r="K4" s="209" t="s">
        <v>66</v>
      </c>
      <c r="L4" s="210"/>
      <c r="M4" s="210"/>
      <c r="N4" s="210"/>
      <c r="O4" s="210"/>
      <c r="P4" s="210"/>
      <c r="Q4" s="212"/>
      <c r="R4" s="210" t="s">
        <v>31</v>
      </c>
      <c r="S4" s="210"/>
      <c r="T4" s="210"/>
      <c r="U4" s="210"/>
      <c r="V4" s="210"/>
      <c r="W4" s="220"/>
      <c r="X4" s="111"/>
      <c r="Y4" s="209" t="s">
        <v>8</v>
      </c>
      <c r="Z4" s="210"/>
      <c r="AA4" s="210"/>
      <c r="AB4" s="210"/>
      <c r="AC4" s="210"/>
      <c r="AD4" s="210"/>
      <c r="AE4" s="220"/>
      <c r="AF4" s="221" t="s">
        <v>10</v>
      </c>
      <c r="AG4" s="222"/>
      <c r="AH4" s="222"/>
      <c r="AI4" s="222"/>
      <c r="AJ4" s="222"/>
      <c r="AK4" s="222"/>
      <c r="AL4" s="223"/>
      <c r="AM4" s="209" t="s">
        <v>32</v>
      </c>
      <c r="AN4" s="210"/>
      <c r="AO4" s="210"/>
      <c r="AP4" s="210"/>
      <c r="AQ4" s="210"/>
      <c r="AR4" s="210"/>
      <c r="AS4" s="210"/>
      <c r="AT4" s="211" t="s">
        <v>33</v>
      </c>
      <c r="AU4" s="210"/>
      <c r="AV4" s="210"/>
      <c r="AW4" s="210"/>
      <c r="AX4" s="210"/>
      <c r="AY4" s="210"/>
      <c r="AZ4" s="212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52" ht="65.25" customHeight="1">
      <c r="A5" s="217"/>
      <c r="B5" s="219"/>
      <c r="C5" s="219"/>
      <c r="D5" s="11" t="s">
        <v>6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12" t="s">
        <v>36</v>
      </c>
      <c r="K5" s="11" t="s">
        <v>6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235" t="s">
        <v>36</v>
      </c>
      <c r="R5" s="225" t="s">
        <v>6</v>
      </c>
      <c r="S5" s="12" t="s">
        <v>12</v>
      </c>
      <c r="T5" s="12" t="s">
        <v>13</v>
      </c>
      <c r="U5" s="12" t="s">
        <v>14</v>
      </c>
      <c r="V5" s="12" t="s">
        <v>15</v>
      </c>
      <c r="W5" s="12" t="s">
        <v>16</v>
      </c>
      <c r="X5" s="12" t="s">
        <v>36</v>
      </c>
      <c r="Y5" s="11" t="s">
        <v>6</v>
      </c>
      <c r="Z5" s="12" t="s">
        <v>12</v>
      </c>
      <c r="AA5" s="12" t="s">
        <v>13</v>
      </c>
      <c r="AB5" s="12" t="s">
        <v>14</v>
      </c>
      <c r="AC5" s="12" t="s">
        <v>15</v>
      </c>
      <c r="AD5" s="12" t="s">
        <v>16</v>
      </c>
      <c r="AE5" s="12" t="s">
        <v>36</v>
      </c>
      <c r="AF5" s="11" t="s">
        <v>6</v>
      </c>
      <c r="AG5" s="12" t="s">
        <v>12</v>
      </c>
      <c r="AH5" s="12" t="s">
        <v>13</v>
      </c>
      <c r="AI5" s="12" t="s">
        <v>14</v>
      </c>
      <c r="AJ5" s="12" t="s">
        <v>15</v>
      </c>
      <c r="AK5" s="12" t="s">
        <v>16</v>
      </c>
      <c r="AL5" s="12" t="s">
        <v>36</v>
      </c>
      <c r="AM5" s="14" t="s">
        <v>6</v>
      </c>
      <c r="AN5" s="12" t="s">
        <v>12</v>
      </c>
      <c r="AO5" s="12" t="s">
        <v>13</v>
      </c>
      <c r="AP5" s="12" t="s">
        <v>14</v>
      </c>
      <c r="AQ5" s="12" t="s">
        <v>15</v>
      </c>
      <c r="AR5" s="12" t="s">
        <v>16</v>
      </c>
      <c r="AS5" s="112" t="s">
        <v>36</v>
      </c>
      <c r="AT5" s="114" t="s">
        <v>6</v>
      </c>
      <c r="AU5" s="16" t="s">
        <v>12</v>
      </c>
      <c r="AV5" s="16" t="s">
        <v>13</v>
      </c>
      <c r="AW5" s="16" t="s">
        <v>14</v>
      </c>
      <c r="AX5" s="16" t="s">
        <v>15</v>
      </c>
      <c r="AY5" s="16" t="s">
        <v>16</v>
      </c>
      <c r="AZ5" s="110" t="s">
        <v>36</v>
      </c>
    </row>
    <row r="6" spans="1:65" s="22" customFormat="1" ht="25.5" customHeight="1" thickBot="1">
      <c r="A6" s="17"/>
      <c r="B6" s="18">
        <v>2</v>
      </c>
      <c r="C6" s="18"/>
      <c r="D6" s="19">
        <v>3</v>
      </c>
      <c r="E6" s="18"/>
      <c r="F6" s="18"/>
      <c r="G6" s="18"/>
      <c r="H6" s="18"/>
      <c r="I6" s="18"/>
      <c r="J6" s="18"/>
      <c r="K6" s="19">
        <v>4</v>
      </c>
      <c r="L6" s="20"/>
      <c r="M6" s="20"/>
      <c r="N6" s="20"/>
      <c r="O6" s="20"/>
      <c r="P6" s="20"/>
      <c r="Q6" s="236"/>
      <c r="R6" s="226">
        <v>5</v>
      </c>
      <c r="S6" s="20"/>
      <c r="T6" s="20"/>
      <c r="U6" s="20"/>
      <c r="V6" s="20"/>
      <c r="W6" s="20"/>
      <c r="X6" s="20"/>
      <c r="Y6" s="19">
        <v>6</v>
      </c>
      <c r="Z6" s="18"/>
      <c r="AA6" s="18"/>
      <c r="AB6" s="18"/>
      <c r="AC6" s="18"/>
      <c r="AD6" s="18"/>
      <c r="AE6" s="18"/>
      <c r="AF6" s="19">
        <v>7</v>
      </c>
      <c r="AG6" s="20"/>
      <c r="AH6" s="20"/>
      <c r="AI6" s="20"/>
      <c r="AJ6" s="20"/>
      <c r="AK6" s="20"/>
      <c r="AL6" s="20"/>
      <c r="AM6" s="19">
        <v>8</v>
      </c>
      <c r="AN6" s="20"/>
      <c r="AO6" s="20"/>
      <c r="AP6" s="20"/>
      <c r="AQ6" s="20"/>
      <c r="AR6" s="20"/>
      <c r="AS6" s="113"/>
      <c r="AT6" s="115">
        <v>9</v>
      </c>
      <c r="AU6" s="116"/>
      <c r="AV6" s="116"/>
      <c r="AW6" s="116"/>
      <c r="AX6" s="116"/>
      <c r="AY6" s="116"/>
      <c r="AZ6" s="117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</row>
    <row r="7" spans="1:65" s="29" customFormat="1" ht="52.5" customHeight="1" thickBot="1">
      <c r="A7" s="23">
        <v>1</v>
      </c>
      <c r="B7" s="24" t="s">
        <v>2</v>
      </c>
      <c r="C7" s="24" t="s">
        <v>4</v>
      </c>
      <c r="D7" s="25">
        <f>SUM(D8:D18)-94.5942</f>
        <v>85727.463391299</v>
      </c>
      <c r="E7" s="25">
        <f aca="true" t="shared" si="0" ref="E7:K7">SUM(E8:E18)</f>
        <v>6713.08091735732</v>
      </c>
      <c r="F7" s="25">
        <f t="shared" si="0"/>
        <v>39438.4046669096</v>
      </c>
      <c r="G7" s="25">
        <f>SUM(G8:G18)-94.5942</f>
        <v>14921.917067513878</v>
      </c>
      <c r="H7" s="25">
        <f t="shared" si="0"/>
        <v>13117.016499999998</v>
      </c>
      <c r="I7" s="25">
        <f t="shared" si="0"/>
        <v>9742.247584679259</v>
      </c>
      <c r="J7" s="25">
        <f t="shared" si="0"/>
        <v>1794.7966548389377</v>
      </c>
      <c r="K7" s="27">
        <f>R7/D7</f>
        <v>1918.113706682817</v>
      </c>
      <c r="L7" s="27"/>
      <c r="M7" s="27"/>
      <c r="N7" s="27"/>
      <c r="O7" s="27"/>
      <c r="P7" s="27"/>
      <c r="Q7" s="237"/>
      <c r="R7" s="61">
        <f aca="true" t="shared" si="1" ref="R7:AE7">SUM(R8:R18)</f>
        <v>164435022.57000002</v>
      </c>
      <c r="S7" s="27">
        <f t="shared" si="1"/>
        <v>14807577.190000001</v>
      </c>
      <c r="T7" s="27">
        <f t="shared" si="1"/>
        <v>64086900.21</v>
      </c>
      <c r="U7" s="27">
        <f t="shared" si="1"/>
        <v>32728528.25</v>
      </c>
      <c r="V7" s="27">
        <f t="shared" si="1"/>
        <v>28755883.68</v>
      </c>
      <c r="W7" s="27">
        <f t="shared" si="1"/>
        <v>21652189.130000003</v>
      </c>
      <c r="X7" s="27">
        <f t="shared" si="1"/>
        <v>2403944.1100000003</v>
      </c>
      <c r="Y7" s="59">
        <f t="shared" si="1"/>
        <v>83804.04852721427</v>
      </c>
      <c r="Z7" s="59">
        <f t="shared" si="1"/>
        <v>6727.017032979579</v>
      </c>
      <c r="AA7" s="59">
        <f t="shared" si="1"/>
        <v>39321.20412694381</v>
      </c>
      <c r="AB7" s="59">
        <f t="shared" si="1"/>
        <v>14989.081536595777</v>
      </c>
      <c r="AC7" s="59">
        <f t="shared" si="1"/>
        <v>12523.593788229362</v>
      </c>
      <c r="AD7" s="59">
        <f t="shared" si="1"/>
        <v>8450.972059608886</v>
      </c>
      <c r="AE7" s="59">
        <f t="shared" si="1"/>
        <v>1792.1799828568555</v>
      </c>
      <c r="AF7" s="28">
        <f>AM7/Y7</f>
        <v>1265.622769710905</v>
      </c>
      <c r="AG7" s="101">
        <f>AN7/Z7</f>
        <v>1269.0395874051765</v>
      </c>
      <c r="AH7" s="101">
        <f>AH10</f>
        <v>1306.63</v>
      </c>
      <c r="AI7" s="101">
        <f>AI9</f>
        <v>1306.63</v>
      </c>
      <c r="AJ7" s="101">
        <f>AJ12</f>
        <v>1306.63</v>
      </c>
      <c r="AK7" s="27">
        <f>AK12</f>
        <v>1306.63</v>
      </c>
      <c r="AL7" s="27">
        <f>AS7/AE7</f>
        <v>1170.383795190248</v>
      </c>
      <c r="AM7" s="27">
        <f aca="true" t="shared" si="2" ref="AM7:AZ7">SUM(AM8:AM18)</f>
        <v>106064312.01</v>
      </c>
      <c r="AN7" s="27">
        <f t="shared" si="2"/>
        <v>8536850.92</v>
      </c>
      <c r="AO7" s="27">
        <f t="shared" si="2"/>
        <v>49829320.269999996</v>
      </c>
      <c r="AP7" s="27">
        <f t="shared" si="2"/>
        <v>19007871.01</v>
      </c>
      <c r="AQ7" s="27">
        <f t="shared" si="2"/>
        <v>15875156.459999999</v>
      </c>
      <c r="AR7" s="27">
        <f t="shared" si="2"/>
        <v>10717574.94</v>
      </c>
      <c r="AS7" s="27">
        <f t="shared" si="2"/>
        <v>2097538.41</v>
      </c>
      <c r="AT7" s="118">
        <f t="shared" si="2"/>
        <v>37566.81240055186</v>
      </c>
      <c r="AU7" s="27">
        <f t="shared" si="2"/>
        <v>0</v>
      </c>
      <c r="AV7" s="27">
        <f t="shared" si="2"/>
        <v>0</v>
      </c>
      <c r="AW7" s="27">
        <f t="shared" si="2"/>
        <v>0</v>
      </c>
      <c r="AX7" s="27">
        <f t="shared" si="2"/>
        <v>0</v>
      </c>
      <c r="AY7" s="27">
        <f t="shared" si="2"/>
        <v>0</v>
      </c>
      <c r="AZ7" s="27">
        <f t="shared" si="2"/>
        <v>37566.81240055186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</row>
    <row r="8" spans="1:52" ht="53.25" customHeight="1">
      <c r="A8" s="238"/>
      <c r="B8" s="47" t="s">
        <v>20</v>
      </c>
      <c r="C8" s="48"/>
      <c r="D8" s="49">
        <f aca="true" t="shared" si="3" ref="D8:D16">SUM(E8:I8)</f>
        <v>260.32301735731943</v>
      </c>
      <c r="E8" s="45">
        <f>Январь!E8+Февраль!E8+Март!E8+Апрель!E8+Май!E8+Июнь!E8+'Июль 1'!E8+Август!E8+Сентябрь!E8+Октябрь!E8+Ноябрь!E8+Декабрь!E8</f>
        <v>260.32301735731943</v>
      </c>
      <c r="F8" s="45"/>
      <c r="G8" s="45"/>
      <c r="H8" s="45"/>
      <c r="I8" s="45"/>
      <c r="J8" s="45"/>
      <c r="K8" s="14">
        <f>R8/D8</f>
        <v>3354.630100961551</v>
      </c>
      <c r="L8" s="13">
        <v>1393.74</v>
      </c>
      <c r="M8" s="13"/>
      <c r="N8" s="13"/>
      <c r="O8" s="13"/>
      <c r="P8" s="13"/>
      <c r="Q8" s="239"/>
      <c r="R8" s="227">
        <f aca="true" t="shared" si="4" ref="R8:R16">SUM(S8:W8)</f>
        <v>873287.43</v>
      </c>
      <c r="S8" s="182">
        <f>Январь!S8+Февраль!S8+Март!S8+Апрель!S8+Май!S8+Июнь!S8+'Июль 1'!S8+Август!S8+Сентябрь!S8+Октябрь!S8+Ноябрь!S8+Декабрь!S8</f>
        <v>873287.43</v>
      </c>
      <c r="T8" s="182"/>
      <c r="U8" s="182"/>
      <c r="V8" s="182"/>
      <c r="W8" s="45"/>
      <c r="X8" s="45"/>
      <c r="Y8" s="67">
        <f aca="true" t="shared" si="5" ref="Y8:Y16">SUM(Z8:AD8)</f>
        <v>264.00012727685424</v>
      </c>
      <c r="Z8" s="45">
        <f>Январь!Z8+Февраль!Z8+Март!Z8+Апрель!Z8+Май!Z8+Июнь!Z8+'Июль 1'!Z8+Август!Z8+Сентябрь!Z8+Октябрь!Z8+Ноябрь!Z8+Декабрь!Z8</f>
        <v>264.00012727685424</v>
      </c>
      <c r="AA8" s="45"/>
      <c r="AB8" s="45"/>
      <c r="AC8" s="45"/>
      <c r="AD8" s="45"/>
      <c r="AE8" s="45"/>
      <c r="AF8" s="14">
        <f>AG8</f>
        <v>1393.74</v>
      </c>
      <c r="AG8" s="13">
        <v>1393.74</v>
      </c>
      <c r="AH8" s="13"/>
      <c r="AI8" s="13"/>
      <c r="AJ8" s="13"/>
      <c r="AK8" s="13"/>
      <c r="AL8" s="37"/>
      <c r="AM8" s="15">
        <f aca="true" t="shared" si="6" ref="AM8:AM16">SUM(AN8:AR8)</f>
        <v>341603.52999999997</v>
      </c>
      <c r="AN8" s="182">
        <f>Январь!AN8+Февраль!AN8+Март!AN8+Апрель!AN8+Май!AN8+Июнь!AN8+'Июль 1'!AN8+Август!AN8+Сентябрь!AN8+Октябрь!AN8+Ноябрь!AN8+Декабрь!AN8</f>
        <v>341603.52999999997</v>
      </c>
      <c r="AO8" s="182"/>
      <c r="AP8" s="182"/>
      <c r="AQ8" s="182"/>
      <c r="AR8" s="45"/>
      <c r="AS8" s="45"/>
      <c r="AT8" s="15">
        <f aca="true" t="shared" si="7" ref="AT8:AT16">SUM(AU8:AY8)</f>
        <v>0</v>
      </c>
      <c r="AU8" s="37">
        <f>(L8-AG8)*E8</f>
        <v>0</v>
      </c>
      <c r="AV8" s="37"/>
      <c r="AW8" s="37"/>
      <c r="AX8" s="37"/>
      <c r="AY8" s="37"/>
      <c r="AZ8" s="13"/>
    </row>
    <row r="9" spans="1:52" ht="53.25" customHeight="1">
      <c r="A9" s="38"/>
      <c r="B9" s="47" t="s">
        <v>21</v>
      </c>
      <c r="C9" s="48"/>
      <c r="D9" s="51">
        <f t="shared" si="3"/>
        <v>447.241883693197</v>
      </c>
      <c r="E9" s="45"/>
      <c r="F9" s="45"/>
      <c r="G9" s="45">
        <f>Январь!G9+Февраль!G9+Март!G9+Апрель!G9+Май!G9+Июнь!G9+'Июль 1'!G9+Август!G9+Сентябрь!G9+Октябрь!G9+Ноябрь!G9+Декабрь!G9</f>
        <v>447.241883693197</v>
      </c>
      <c r="H9" s="45"/>
      <c r="I9" s="45"/>
      <c r="J9" s="45"/>
      <c r="K9" s="14">
        <f>R9/D9</f>
        <v>3137.303104112973</v>
      </c>
      <c r="L9" s="13"/>
      <c r="M9" s="13"/>
      <c r="N9" s="13">
        <v>1306.63</v>
      </c>
      <c r="O9" s="13"/>
      <c r="P9" s="13"/>
      <c r="Q9" s="239"/>
      <c r="R9" s="227">
        <f t="shared" si="4"/>
        <v>1403133.35</v>
      </c>
      <c r="S9" s="182"/>
      <c r="T9" s="182"/>
      <c r="U9" s="182">
        <f>Январь!U9+Февраль!U9+Март!U9+Апрель!U9+Май!U9+Июнь!U9+'Июль 1'!U9+Август!U9+Сентябрь!U9+Октябрь!U9+Ноябрь!U9+Декабрь!U9</f>
        <v>1403133.35</v>
      </c>
      <c r="V9" s="182"/>
      <c r="W9" s="45"/>
      <c r="X9" s="45"/>
      <c r="Y9" s="67">
        <f t="shared" si="5"/>
        <v>448.7071164486903</v>
      </c>
      <c r="Z9" s="45"/>
      <c r="AA9" s="45"/>
      <c r="AB9" s="45">
        <f>Январь!AB9+Февраль!AB9+Март!AB9+Апрель!AB9+Май!AB9+Июнь!AB9+'Июль 1'!AB9+Август!AB9+Сентябрь!AB9+Октябрь!AB9+Ноябрь!AB9+Декабрь!AB9</f>
        <v>448.7071164486903</v>
      </c>
      <c r="AC9" s="45"/>
      <c r="AD9" s="45"/>
      <c r="AE9" s="45"/>
      <c r="AF9" s="14">
        <f>AI9</f>
        <v>1306.63</v>
      </c>
      <c r="AG9" s="13"/>
      <c r="AH9" s="13"/>
      <c r="AI9" s="13">
        <v>1306.63</v>
      </c>
      <c r="AJ9" s="13"/>
      <c r="AK9" s="13"/>
      <c r="AL9" s="37"/>
      <c r="AM9" s="15">
        <f t="shared" si="6"/>
        <v>569050.4</v>
      </c>
      <c r="AN9" s="182"/>
      <c r="AO9" s="182"/>
      <c r="AP9" s="182">
        <f>Январь!AP9+Февраль!AP9+Март!AP9+Апрель!AP9+Май!AP9+Июнь!AP9+'Июль 1'!AP9+Август!AP9+Сентябрь!AP9+Октябрь!AP9+Ноябрь!AP9+Декабрь!AP9</f>
        <v>569050.4</v>
      </c>
      <c r="AQ9" s="182"/>
      <c r="AR9" s="45"/>
      <c r="AS9" s="45"/>
      <c r="AT9" s="15">
        <f t="shared" si="7"/>
        <v>0</v>
      </c>
      <c r="AU9" s="37"/>
      <c r="AV9" s="37"/>
      <c r="AW9" s="37">
        <f>(N9-AI9)*G9</f>
        <v>0</v>
      </c>
      <c r="AX9" s="37"/>
      <c r="AY9" s="37"/>
      <c r="AZ9" s="13"/>
    </row>
    <row r="10" spans="1:52" ht="65.25" customHeight="1">
      <c r="A10" s="38"/>
      <c r="B10" s="54" t="s">
        <v>43</v>
      </c>
      <c r="C10" s="40"/>
      <c r="D10" s="49">
        <f t="shared" si="3"/>
        <v>9162.381996909598</v>
      </c>
      <c r="E10" s="45"/>
      <c r="F10" s="45">
        <f>Январь!F10+Февраль!F10+Март!F10+Апрель!F10+Май!F10+Июнь!F10+'Июль 1'!F10+Август!F10+Сентябрь!F10+Октябрь!F10+Ноябрь!F10+Декабрь!F10</f>
        <v>9162.381996909598</v>
      </c>
      <c r="G10" s="45"/>
      <c r="H10" s="45"/>
      <c r="I10" s="45"/>
      <c r="J10" s="45"/>
      <c r="K10" s="14">
        <f>R10/D10</f>
        <v>1563.7122993597623</v>
      </c>
      <c r="L10" s="13"/>
      <c r="M10" s="13">
        <v>1306.63</v>
      </c>
      <c r="N10" s="13"/>
      <c r="O10" s="13"/>
      <c r="P10" s="13"/>
      <c r="Q10" s="239"/>
      <c r="R10" s="227">
        <f t="shared" si="4"/>
        <v>14327329.419999998</v>
      </c>
      <c r="S10" s="182"/>
      <c r="T10" s="182">
        <f>Январь!T10+Февраль!T10+Март!T10+Апрель!T10+Май!T10+Июнь!T10+'Июль 1'!T10+Август!T10+Сентябрь!T10+Октябрь!T10+Ноябрь!T10+Декабрь!T10</f>
        <v>14327329.419999998</v>
      </c>
      <c r="U10" s="182"/>
      <c r="V10" s="182"/>
      <c r="W10" s="45"/>
      <c r="X10" s="45"/>
      <c r="Y10" s="67">
        <f t="shared" si="5"/>
        <v>9162.382207264127</v>
      </c>
      <c r="Z10" s="45"/>
      <c r="AA10" s="45">
        <f>Январь!AA10+Февраль!AA10+Март!AA10+Апрель!AA10+Май!AA10+Июнь!AA10+'Июль 1'!AA10+Август!AA10+Сентябрь!AA10+Октябрь!AA10+Ноябрь!AA10+Декабрь!AA10</f>
        <v>9162.382207264127</v>
      </c>
      <c r="AB10" s="45"/>
      <c r="AC10" s="45"/>
      <c r="AD10" s="45"/>
      <c r="AE10" s="45"/>
      <c r="AF10" s="14">
        <f>AH10</f>
        <v>1306.63</v>
      </c>
      <c r="AG10" s="13"/>
      <c r="AH10" s="13">
        <v>1306.63</v>
      </c>
      <c r="AI10" s="13"/>
      <c r="AJ10" s="13"/>
      <c r="AK10" s="13"/>
      <c r="AL10" s="37"/>
      <c r="AM10" s="15">
        <f t="shared" si="6"/>
        <v>11618673.89</v>
      </c>
      <c r="AN10" s="182"/>
      <c r="AO10" s="182">
        <f>Январь!AO10+Февраль!AO10+Март!AO10+Апрель!AO10+Май!AO10+Июнь!AO10+'Июль 1'!AO10+Август!AO10+Сентябрь!AO10+Октябрь!AO10+Ноябрь!AO10+Декабрь!AO10</f>
        <v>11618673.89</v>
      </c>
      <c r="AP10" s="182"/>
      <c r="AQ10" s="182"/>
      <c r="AR10" s="45"/>
      <c r="AS10" s="45"/>
      <c r="AT10" s="15">
        <f t="shared" si="7"/>
        <v>0</v>
      </c>
      <c r="AU10" s="37"/>
      <c r="AV10" s="37">
        <f>(M10-AH10)*F10</f>
        <v>0</v>
      </c>
      <c r="AW10" s="37"/>
      <c r="AX10" s="37"/>
      <c r="AY10" s="37"/>
      <c r="AZ10" s="13"/>
    </row>
    <row r="11" spans="1:52" ht="42" customHeight="1">
      <c r="A11" s="38"/>
      <c r="B11" s="54" t="s">
        <v>22</v>
      </c>
      <c r="C11" s="40"/>
      <c r="D11" s="41">
        <f t="shared" si="3"/>
        <v>83.36296311986047</v>
      </c>
      <c r="E11" s="42"/>
      <c r="F11" s="42"/>
      <c r="G11" s="45">
        <f>Январь!G11+Февраль!G11+Март!G11+Апрель!G11+Май!G11+Июнь!G11+'Июль 1'!G11+Август!G11+Сентябрь!G11+Октябрь!G11+Ноябрь!G11+Декабрь!G11</f>
        <v>83.36296311986047</v>
      </c>
      <c r="H11" s="42"/>
      <c r="I11" s="42"/>
      <c r="J11" s="42"/>
      <c r="K11" s="14">
        <f>R11/D11</f>
        <v>1441.466275943493</v>
      </c>
      <c r="L11" s="13"/>
      <c r="M11" s="13"/>
      <c r="N11" s="13">
        <v>1306.63</v>
      </c>
      <c r="O11" s="13"/>
      <c r="P11" s="13"/>
      <c r="Q11" s="235"/>
      <c r="R11" s="228">
        <f t="shared" si="4"/>
        <v>120164.90000000001</v>
      </c>
      <c r="S11" s="184"/>
      <c r="T11" s="184"/>
      <c r="U11" s="182">
        <f>Январь!U11+Февраль!U11+Март!U11+Апрель!U11+Май!U11+Июнь!U11+'Июль 1'!U11+Август!U11+Сентябрь!U11+Октябрь!U11+Ноябрь!U11+Декабрь!U11</f>
        <v>120164.90000000001</v>
      </c>
      <c r="V11" s="184"/>
      <c r="W11" s="42"/>
      <c r="X11" s="42"/>
      <c r="Y11" s="64">
        <f t="shared" si="5"/>
        <v>88.55512998220426</v>
      </c>
      <c r="Z11" s="42"/>
      <c r="AA11" s="42"/>
      <c r="AB11" s="45">
        <f>Январь!AB11+Февраль!AB11+Март!AB11+Апрель!AB11+Май!AB11+Июнь!AB11+'Июль 1'!AB11+Август!AB11+Сентябрь!AB11+Октябрь!AB11+Ноябрь!AB11+Декабрь!AB11</f>
        <v>88.55512998220426</v>
      </c>
      <c r="AC11" s="42"/>
      <c r="AD11" s="42"/>
      <c r="AE11" s="42"/>
      <c r="AF11" s="14">
        <f>AI11</f>
        <v>1306.63</v>
      </c>
      <c r="AG11" s="13"/>
      <c r="AH11" s="13"/>
      <c r="AI11" s="13">
        <v>1306.63</v>
      </c>
      <c r="AJ11" s="13"/>
      <c r="AK11" s="13"/>
      <c r="AL11" s="13"/>
      <c r="AM11" s="14">
        <f t="shared" si="6"/>
        <v>112305.66</v>
      </c>
      <c r="AN11" s="184"/>
      <c r="AO11" s="184"/>
      <c r="AP11" s="182">
        <f>Январь!AP11+Февраль!AP11+Март!AP11+Апрель!AP11+Май!AP11+Июнь!AP11+'Июль 1'!AP11+Август!AP11+Сентябрь!AP11+Октябрь!AP11+Ноябрь!AP11+Декабрь!AP11</f>
        <v>112305.66</v>
      </c>
      <c r="AQ11" s="184"/>
      <c r="AR11" s="42"/>
      <c r="AS11" s="42"/>
      <c r="AT11" s="14">
        <f t="shared" si="7"/>
        <v>0</v>
      </c>
      <c r="AU11" s="37"/>
      <c r="AV11" s="37"/>
      <c r="AW11" s="37">
        <f>(N11-AI11)*G11</f>
        <v>0</v>
      </c>
      <c r="AX11" s="37"/>
      <c r="AY11" s="37"/>
      <c r="AZ11" s="13"/>
    </row>
    <row r="12" spans="1:52" ht="33" customHeight="1">
      <c r="A12" s="30"/>
      <c r="B12" s="31" t="s">
        <v>17</v>
      </c>
      <c r="C12" s="32"/>
      <c r="D12" s="33">
        <f>SUM(E12:J12)</f>
        <v>49751.253899999996</v>
      </c>
      <c r="E12" s="45">
        <f>Январь!E12+Февраль!E12+Март!E12+Апрель!E12+Май!E12+Июнь!E12+'Июль 1'!E12+Август!E12+Сентябрь!E12+Октябрь!E12+Ноябрь!E12+Декабрь!E12</f>
        <v>6452.7579000000005</v>
      </c>
      <c r="F12" s="45">
        <f>Январь!F12+Февраль!F12+Март!F12+Апрель!F12+Май!F12+Июнь!F12+'Июль 1'!F12+Август!F12+Сентябрь!F12+Октябрь!F12+Ноябрь!F12+Декабрь!F12</f>
        <v>6588.582799999999</v>
      </c>
      <c r="G12" s="45">
        <f>Январь!G12+Февраль!G12+Март!G12+Апрель!G12+Май!G12+Июнь!G12+'Июль 1'!G12+Август!G12+Сентябрь!G12+Октябрь!G12+Ноябрь!G12+Декабрь!G12</f>
        <v>14391.3122</v>
      </c>
      <c r="H12" s="45">
        <f>Январь!H12+Февраль!H12+Март!H12+Апрель!H12+Май!H12+Июнь!H12+'Июль 1'!H12+Август!H12+Сентябрь!H12+Октябрь!H12+Ноябрь!H12+Декабрь!H12</f>
        <v>13117.016499999998</v>
      </c>
      <c r="I12" s="45">
        <f>Январь!I12+Февраль!I12+Март!I12+Апрель!I12+Май!I12+Июнь!I12+'Июль 1'!I12+Август!I12+Сентябрь!I12+Октябрь!I12+Ноябрь!I12+Декабрь!I12</f>
        <v>8952.1155</v>
      </c>
      <c r="J12" s="34">
        <f>Ноябрь!J12+Декабрь!J12</f>
        <v>249.469</v>
      </c>
      <c r="K12" s="35">
        <f>R12/D12</f>
        <v>2177.280747289869</v>
      </c>
      <c r="L12" s="37">
        <v>1306.63</v>
      </c>
      <c r="M12" s="37">
        <f>L12</f>
        <v>1306.63</v>
      </c>
      <c r="N12" s="37">
        <f>M12</f>
        <v>1306.63</v>
      </c>
      <c r="O12" s="37">
        <f>N12</f>
        <v>1306.63</v>
      </c>
      <c r="P12" s="37">
        <f>O12</f>
        <v>1306.63</v>
      </c>
      <c r="Q12" s="240">
        <f>Ноябрь!J12+Декабрь!J12</f>
        <v>249.469</v>
      </c>
      <c r="R12" s="229">
        <f>SUM(S12:X12)</f>
        <v>108322447.27</v>
      </c>
      <c r="S12" s="182">
        <f>Январь!S12+Февраль!S12+Март!S12+Апрель!S12+Май!S12+Июнь!S12+'Июль 1'!S12+Август!S12+Сентябрь!S12+Октябрь!S12+Ноябрь!S12+Декабрь!S12</f>
        <v>13934289.760000002</v>
      </c>
      <c r="T12" s="182">
        <f>Январь!T12+Февраль!T12+Март!T12+Апрель!T12+Май!T12+Июнь!T12+'Июль 1'!T12+Август!T12+Сентябрь!T12+Октябрь!T12+Ноябрь!T12+Декабрь!T12</f>
        <v>14247546.120000001</v>
      </c>
      <c r="U12" s="182">
        <f>Январь!U12+Февраль!U12+Март!U12+Апрель!U12+Май!U12+Июнь!U12+'Июль 1'!U12+Август!U12+Сентябрь!U12+Октябрь!U12+Ноябрь!U12+Декабрь!U12</f>
        <v>31085226.45</v>
      </c>
      <c r="V12" s="182">
        <f>Январь!V12+Февраль!V12+Март!V12+Апрель!V12+Май!V12+Июнь!V12+'Июль 1'!V12+Август!V12+Сентябрь!V12+Октябрь!V12+Ноябрь!V12+Декабрь!V12</f>
        <v>28755883.68</v>
      </c>
      <c r="W12" s="182">
        <f>Январь!W12+Февраль!W12+Март!W12+Апрель!W12+Май!W12+Июнь!W12+'Июль 1'!W12+Август!W12+Сентябрь!W12+Октябрь!W12+Ноябрь!W12+Декабрь!W12</f>
        <v>19973539.290000003</v>
      </c>
      <c r="X12" s="183">
        <f>Ноябрь!X12+Декабрь!X12</f>
        <v>325961.97</v>
      </c>
      <c r="Y12" s="62">
        <f>SUM(Z12:AE12)</f>
        <v>47752.50836897391</v>
      </c>
      <c r="Z12" s="45">
        <f>Январь!Z12+Февраль!Z12+Март!Z12+Апрель!Z12+Май!Z12+Июнь!Z12+'Июль 1'!Z12+Август!Z12+Сентябрь!Z12+Октябрь!Z12+Ноябрь!Z12+Декабрь!Z12</f>
        <v>6463.016905702725</v>
      </c>
      <c r="AA12" s="45">
        <f>Январь!AA12+Февраль!AA12+Март!AA12+Апрель!AA12+Май!AA12+Июнь!AA12+'Июль 1'!AA12+Август!AA12+Сентябрь!AA12+Октябрь!AA12+Ноябрь!AA12+Декабрь!AA12</f>
        <v>6503.504854264377</v>
      </c>
      <c r="AB12" s="45">
        <f>Январь!AB12+Февраль!AB12+Март!AB12+Апрель!AB12+Май!AB12+Июнь!AB12+'Июль 1'!AB12+Август!AB12+Сентябрь!AB12+Октябрь!AB12+Ноябрь!AB12+Декабрь!AB12</f>
        <v>14354.696539135355</v>
      </c>
      <c r="AC12" s="45">
        <f>Январь!AC12+Февраль!AC12+Март!AC12+Апрель!AC12+Май!AC12+Июнь!AC12+'Июль 1'!AC12+Август!AC12+Сентябрь!AC12+Октябрь!AC12+Ноябрь!AC12+Декабрь!AC12</f>
        <v>12523.593788229362</v>
      </c>
      <c r="AD12" s="45">
        <f>Январь!AD12+Февраль!AD12+Март!AD12+Апрель!AD12+Май!AD12+Июнь!AD12+'Июль 1'!AD12+Август!AD12+Сентябрь!AD12+Октябрь!AD12+Ноябрь!AD12+Декабрь!AD12</f>
        <v>7660.838976972831</v>
      </c>
      <c r="AE12" s="45">
        <f>Январь!AE12+Февраль!AE12+Март!AE12+Апрель!AE12+Май!AE12+Июнь!AE12+'Июль 1'!AE12+Август!AE12+Сентябрь!AE12+Октябрь!AE12+Ноябрь!AE12+Декабрь!AE12</f>
        <v>246.85730466926367</v>
      </c>
      <c r="AF12" s="15">
        <f>AG12</f>
        <v>1306.63</v>
      </c>
      <c r="AG12" s="37">
        <v>1306.63</v>
      </c>
      <c r="AH12" s="37">
        <f>AG12</f>
        <v>1306.63</v>
      </c>
      <c r="AI12" s="37">
        <f>AH12</f>
        <v>1306.63</v>
      </c>
      <c r="AJ12" s="37">
        <f>AI12</f>
        <v>1306.63</v>
      </c>
      <c r="AK12" s="37">
        <f>AJ12</f>
        <v>1306.63</v>
      </c>
      <c r="AL12" s="36">
        <v>1306.63</v>
      </c>
      <c r="AM12" s="35">
        <f>SUM(AN12:AS12)</f>
        <v>60558896.17</v>
      </c>
      <c r="AN12" s="182">
        <f>Январь!AN12+Февраль!AN12+Март!AN12+Апрель!AN12+Май!AN12+Июнь!AN12+'Июль 1'!AN12+Август!AN12+Сентябрь!AN12+Октябрь!AN12+Ноябрь!AN12+Декабрь!AN12</f>
        <v>8195247.390000001</v>
      </c>
      <c r="AO12" s="182">
        <f>Январь!AO12+Февраль!AO12+Март!AO12+Апрель!AO12+Май!AO12+Июнь!AO12+'Июль 1'!AO12+Август!AO12+Сентябрь!AO12+Октябрь!AO12+Ноябрь!AO12+Декабрь!AO12</f>
        <v>8247190.46</v>
      </c>
      <c r="AP12" s="182">
        <f>Январь!AP12+Февраль!AP12+Март!AP12+Апрель!AP12+Май!AP12+Июнь!AP12+'Июль 1'!AP12+Август!AP12+Сентябрь!AP12+Октябрь!AP12+Ноябрь!AP12+Декабрь!AP12</f>
        <v>18203207.180000003</v>
      </c>
      <c r="AQ12" s="182">
        <f>Январь!AQ12+Февраль!AQ12+Март!AQ12+Апрель!AQ12+Май!AQ12+Июнь!AQ12+'Июль 1'!AQ12+Август!AQ12+Сентябрь!AQ12+Октябрь!AQ12+Ноябрь!AQ12+Декабрь!AQ12</f>
        <v>15875156.459999999</v>
      </c>
      <c r="AR12" s="182">
        <f>Январь!AR12+Февраль!AR12+Март!AR12+Апрель!AR12+Май!AR12+Июнь!AR12+'Июль 1'!AR12+Август!AR12+Сентябрь!AR12+Октябрь!AR12+Ноябрь!AR12+Декабрь!AR12</f>
        <v>9715543.52</v>
      </c>
      <c r="AS12" s="182">
        <f>Январь!AS12+Февраль!AS12+Март!AS12+Апрель!AS12+Май!AS12+Июнь!AS12+'Июль 1'!AS12+Август!AS12+Сентябрь!AS12+Октябрь!AS12+Ноябрь!AS12+Декабрь!AS12</f>
        <v>322551.16000000003</v>
      </c>
      <c r="AT12" s="35">
        <f t="shared" si="7"/>
        <v>0</v>
      </c>
      <c r="AU12" s="37">
        <f>(L12-AG12)*E12</f>
        <v>0</v>
      </c>
      <c r="AV12" s="37">
        <f>(M12-AH12)*F12</f>
        <v>0</v>
      </c>
      <c r="AW12" s="37">
        <f>(N12-AI12)*G12</f>
        <v>0</v>
      </c>
      <c r="AX12" s="37">
        <f>(O12-AJ12)*H12</f>
        <v>0</v>
      </c>
      <c r="AY12" s="37">
        <f>(P12-AK12)*I12</f>
        <v>0</v>
      </c>
      <c r="AZ12" s="37"/>
    </row>
    <row r="13" spans="1:52" ht="75.75" customHeight="1">
      <c r="A13" s="38"/>
      <c r="B13" s="39" t="s">
        <v>42</v>
      </c>
      <c r="C13" s="40"/>
      <c r="D13" s="41">
        <f t="shared" si="3"/>
        <v>790.1320846792592</v>
      </c>
      <c r="E13" s="42"/>
      <c r="F13" s="42"/>
      <c r="G13" s="42"/>
      <c r="H13" s="42"/>
      <c r="I13" s="45">
        <f>Январь!I13+Февраль!I13+Март!I13+Апрель!I13+Май!I13+Июнь!I13+'Июль 1'!I13+Август!I13+Сентябрь!I13+Октябрь!I13+Ноябрь!I13+Декабрь!I13</f>
        <v>790.1320846792592</v>
      </c>
      <c r="J13" s="42"/>
      <c r="K13" s="14">
        <f>R13/D13</f>
        <v>2124.5180047098324</v>
      </c>
      <c r="L13" s="13"/>
      <c r="M13" s="13"/>
      <c r="N13" s="13"/>
      <c r="O13" s="13"/>
      <c r="P13" s="13">
        <v>1306.63</v>
      </c>
      <c r="Q13" s="235"/>
      <c r="R13" s="228">
        <f t="shared" si="4"/>
        <v>1678649.8399999999</v>
      </c>
      <c r="S13" s="184"/>
      <c r="T13" s="184"/>
      <c r="U13" s="184"/>
      <c r="V13" s="184"/>
      <c r="W13" s="182">
        <f>Январь!W13+Февраль!W13+Март!W13+Апрель!W13+Май!W13+Июнь!W13+'Июль 1'!W13+Август!W13+Сентябрь!W13+Октябрь!W13+Ноябрь!W13+Декабрь!W13</f>
        <v>1678649.8399999999</v>
      </c>
      <c r="X13" s="184"/>
      <c r="Y13" s="64">
        <f t="shared" si="5"/>
        <v>790.1330826360556</v>
      </c>
      <c r="Z13" s="42"/>
      <c r="AA13" s="42"/>
      <c r="AB13" s="42"/>
      <c r="AC13" s="42"/>
      <c r="AD13" s="45">
        <f>Январь!AD13+Февраль!AD13+Март!AD13+Апрель!AD13+Май!AD13+Июнь!AD13+'Июль 1'!AD13+Август!AD13+Сентябрь!AD13+Октябрь!AD13+Ноябрь!AD13+Декабрь!AD13</f>
        <v>790.1330826360556</v>
      </c>
      <c r="AE13" s="42"/>
      <c r="AF13" s="14">
        <f>AK13</f>
        <v>1306.63</v>
      </c>
      <c r="AG13" s="13"/>
      <c r="AH13" s="13"/>
      <c r="AI13" s="13"/>
      <c r="AJ13" s="13"/>
      <c r="AK13" s="13">
        <v>1306.63</v>
      </c>
      <c r="AL13" s="13"/>
      <c r="AM13" s="14">
        <f t="shared" si="6"/>
        <v>1002031.42</v>
      </c>
      <c r="AN13" s="184"/>
      <c r="AO13" s="184"/>
      <c r="AP13" s="184"/>
      <c r="AQ13" s="184"/>
      <c r="AR13" s="182">
        <f>Январь!AR13+Февраль!AR13+Март!AR13+Апрель!AR13+Май!AR13+Июнь!AR13+'Июль 1'!AR13+Август!AR13+Сентябрь!AR13+Октябрь!AR13+Ноябрь!AR13+Декабрь!AR13</f>
        <v>1002031.42</v>
      </c>
      <c r="AS13" s="184"/>
      <c r="AT13" s="14">
        <f t="shared" si="7"/>
        <v>0</v>
      </c>
      <c r="AU13" s="37"/>
      <c r="AV13" s="37"/>
      <c r="AW13" s="37"/>
      <c r="AX13" s="37"/>
      <c r="AY13" s="37">
        <f>(P13-AK13)*I13</f>
        <v>0</v>
      </c>
      <c r="AZ13" s="13"/>
    </row>
    <row r="14" spans="1:52" ht="37.5" customHeight="1">
      <c r="A14" s="38"/>
      <c r="B14" s="54" t="s">
        <v>23</v>
      </c>
      <c r="C14" s="40"/>
      <c r="D14" s="51">
        <f t="shared" si="3"/>
        <v>1344.6950000000002</v>
      </c>
      <c r="E14" s="45"/>
      <c r="F14" s="45">
        <f>Январь!F14+Февраль!F14+Март!F14+Апрель!F14+Май!F14+Июнь!F14+'Июль 1'!F14+Август!F14+Сентябрь!F14+Октябрь!F14+Ноябрь!F14+Декабрь!F14</f>
        <v>1344.6950000000002</v>
      </c>
      <c r="G14" s="45"/>
      <c r="H14" s="45"/>
      <c r="I14" s="45"/>
      <c r="J14" s="45"/>
      <c r="K14" s="14">
        <f>R14/D14</f>
        <v>1527.570921286983</v>
      </c>
      <c r="L14" s="13"/>
      <c r="M14" s="13">
        <v>1306.63</v>
      </c>
      <c r="N14" s="13"/>
      <c r="O14" s="13"/>
      <c r="P14" s="13"/>
      <c r="Q14" s="239"/>
      <c r="R14" s="227">
        <f t="shared" si="4"/>
        <v>2054116.98</v>
      </c>
      <c r="S14" s="182"/>
      <c r="T14" s="182">
        <f>Январь!T14+Февраль!T14+Март!T14+Апрель!T14+Май!T14+Июнь!T14+'Июль 1'!T14+Август!T14+Сентябрь!T14+Октябрь!T14+Ноябрь!T14+Декабрь!T14</f>
        <v>2054116.98</v>
      </c>
      <c r="U14" s="182"/>
      <c r="V14" s="182"/>
      <c r="W14" s="182"/>
      <c r="X14" s="182"/>
      <c r="Y14" s="67">
        <f t="shared" si="5"/>
        <v>1344.6935042255368</v>
      </c>
      <c r="Z14" s="45"/>
      <c r="AA14" s="45">
        <f>Январь!AA14+Февраль!AA14+Март!AA14+Апрель!AA14+Май!AA14+Июнь!AA14+'Июль 1'!AA14+Август!AA14+Сентябрь!AA14+Октябрь!AA14+Ноябрь!AA14+Декабрь!AA14</f>
        <v>1344.6935042255368</v>
      </c>
      <c r="AB14" s="45"/>
      <c r="AC14" s="45"/>
      <c r="AD14" s="45"/>
      <c r="AE14" s="45"/>
      <c r="AF14" s="14">
        <f>AH14</f>
        <v>1306.63</v>
      </c>
      <c r="AG14" s="13"/>
      <c r="AH14" s="13">
        <v>1306.63</v>
      </c>
      <c r="AI14" s="13"/>
      <c r="AJ14" s="13"/>
      <c r="AK14" s="13"/>
      <c r="AL14" s="37"/>
      <c r="AM14" s="15">
        <f t="shared" si="6"/>
        <v>1705341.4300000002</v>
      </c>
      <c r="AN14" s="182"/>
      <c r="AO14" s="182">
        <f>Январь!AO14+Февраль!AO14+Март!AO14+Апрель!AO14+Май!AO14+Июнь!AO14+'Июль 1'!AO14+Август!AO14+Сентябрь!AO14+Октябрь!AO14+Ноябрь!AO14+Декабрь!AO14</f>
        <v>1705341.4300000002</v>
      </c>
      <c r="AP14" s="182"/>
      <c r="AQ14" s="182"/>
      <c r="AR14" s="182"/>
      <c r="AS14" s="182"/>
      <c r="AT14" s="15">
        <f t="shared" si="7"/>
        <v>0</v>
      </c>
      <c r="AU14" s="37"/>
      <c r="AV14" s="37">
        <f>(M14-AH14)*F14</f>
        <v>0</v>
      </c>
      <c r="AW14" s="37"/>
      <c r="AX14" s="37"/>
      <c r="AY14" s="37"/>
      <c r="AZ14" s="13"/>
    </row>
    <row r="15" spans="1:52" ht="35.25" customHeight="1" hidden="1">
      <c r="A15" s="38"/>
      <c r="B15" s="39" t="s">
        <v>18</v>
      </c>
      <c r="C15" s="40"/>
      <c r="D15" s="75">
        <f t="shared" si="3"/>
        <v>94.59422070081901</v>
      </c>
      <c r="E15" s="42"/>
      <c r="F15" s="42"/>
      <c r="G15" s="45">
        <f>Январь!G15+Февраль!G15+Март!G15+Апрель!G15+Май!G15+Июнь!G15+'Июль 1'!G15+Август!G15+Сентябрь!G15+Октябрь!G15+Ноябрь!G15+Декабрь!G15</f>
        <v>94.59422070081901</v>
      </c>
      <c r="H15" s="42"/>
      <c r="I15" s="42"/>
      <c r="J15" s="42"/>
      <c r="K15" s="14">
        <f>R15/D15</f>
        <v>1268.6139714554572</v>
      </c>
      <c r="L15" s="13"/>
      <c r="M15" s="13"/>
      <c r="N15" s="13">
        <v>1306.63</v>
      </c>
      <c r="O15" s="13"/>
      <c r="P15" s="13"/>
      <c r="Q15" s="235"/>
      <c r="R15" s="228">
        <f t="shared" si="4"/>
        <v>120003.55000000002</v>
      </c>
      <c r="S15" s="184"/>
      <c r="T15" s="184"/>
      <c r="U15" s="182">
        <f>Январь!U15+Февраль!U15+Март!U15+Апрель!U15+Май!U15+Июнь!U15+'Июль 1'!U15+Август!U15+Сентябрь!U15+Октябрь!U15+Ноябрь!U15+Декабрь!U15</f>
        <v>120003.55000000002</v>
      </c>
      <c r="V15" s="184"/>
      <c r="W15" s="184"/>
      <c r="X15" s="184"/>
      <c r="Y15" s="64">
        <f t="shared" si="5"/>
        <v>97.12275102952731</v>
      </c>
      <c r="Z15" s="42"/>
      <c r="AA15" s="42"/>
      <c r="AB15" s="45">
        <f>Январь!AB15+Февраль!AB15+Март!AB15+Апрель!AB15+Май!AB15+Июнь!AB15+'Июль 1'!AB15+Август!AB15+Сентябрь!AB15+Октябрь!AB15+Ноябрь!AB15+Декабрь!AB15</f>
        <v>97.12275102952731</v>
      </c>
      <c r="AC15" s="42"/>
      <c r="AD15" s="42"/>
      <c r="AE15" s="42"/>
      <c r="AF15" s="14">
        <f>AI15</f>
        <v>1306.63</v>
      </c>
      <c r="AG15" s="13"/>
      <c r="AH15" s="13"/>
      <c r="AI15" s="13">
        <v>1306.63</v>
      </c>
      <c r="AJ15" s="13"/>
      <c r="AK15" s="13"/>
      <c r="AL15" s="13"/>
      <c r="AM15" s="14">
        <f t="shared" si="6"/>
        <v>123307.77000000003</v>
      </c>
      <c r="AN15" s="184"/>
      <c r="AO15" s="184"/>
      <c r="AP15" s="182">
        <f>Январь!AP15+Февраль!AP15+Март!AP15+Апрель!AP15+Май!AP15+Июнь!AP15+'Июль 1'!AP15+Август!AP15+Сентябрь!AP15+Октябрь!AP15+Ноябрь!AP15+Декабрь!AP15</f>
        <v>123307.77000000003</v>
      </c>
      <c r="AQ15" s="184"/>
      <c r="AR15" s="184"/>
      <c r="AS15" s="184"/>
      <c r="AT15" s="14">
        <f t="shared" si="7"/>
        <v>0</v>
      </c>
      <c r="AU15" s="37"/>
      <c r="AV15" s="37"/>
      <c r="AW15" s="37">
        <f>(N15-AI15)*G15</f>
        <v>0</v>
      </c>
      <c r="AX15" s="37"/>
      <c r="AY15" s="37"/>
      <c r="AZ15" s="13"/>
    </row>
    <row r="16" spans="1:52" ht="56.25" customHeight="1">
      <c r="A16" s="9"/>
      <c r="B16" s="43" t="s">
        <v>41</v>
      </c>
      <c r="C16" s="32"/>
      <c r="D16" s="44">
        <f t="shared" si="3"/>
        <v>22342.744870000002</v>
      </c>
      <c r="E16" s="45"/>
      <c r="F16" s="45">
        <f>Январь!F16+Февраль!F16+Март!F16+Апрель!F16+Май!F16+Июнь!F16+'Июль 1'!F16+Август!F16+Сентябрь!F16+Октябрь!F16+Ноябрь!F16+Декабрь!F16</f>
        <v>22342.744870000002</v>
      </c>
      <c r="G16" s="45"/>
      <c r="H16" s="45"/>
      <c r="I16" s="45"/>
      <c r="J16" s="45"/>
      <c r="K16" s="14">
        <f>R16/D16</f>
        <v>1497.4842117507471</v>
      </c>
      <c r="L16" s="13"/>
      <c r="M16" s="13">
        <v>1306.63</v>
      </c>
      <c r="N16" s="13"/>
      <c r="O16" s="13"/>
      <c r="P16" s="13"/>
      <c r="Q16" s="239"/>
      <c r="R16" s="227">
        <f t="shared" si="4"/>
        <v>33457907.69</v>
      </c>
      <c r="S16" s="182"/>
      <c r="T16" s="182">
        <f>Январь!T16+Февраль!T16+Март!T16+Апрель!T16+Май!T16+Июнь!T16+'Июль 1'!T16+Август!T16+Сентябрь!T16+Октябрь!T16+Ноябрь!T16+Декабрь!T16</f>
        <v>33457907.69</v>
      </c>
      <c r="U16" s="182"/>
      <c r="V16" s="182"/>
      <c r="W16" s="182"/>
      <c r="X16" s="182"/>
      <c r="Y16" s="67">
        <f t="shared" si="5"/>
        <v>22310.623561189772</v>
      </c>
      <c r="Z16" s="45"/>
      <c r="AA16" s="45">
        <f>Январь!AA16+Февраль!AA16+Март!AA16+Апрель!AA16+Май!AA16+Июнь!AA16+'Июль 1'!AA16+Август!AA16+Сентябрь!AA16+Октябрь!AA16+Ноябрь!AA16+Декабрь!AA16</f>
        <v>22310.623561189772</v>
      </c>
      <c r="AB16" s="45"/>
      <c r="AC16" s="45"/>
      <c r="AD16" s="45"/>
      <c r="AE16" s="45"/>
      <c r="AF16" s="14">
        <f>AH16</f>
        <v>1306.63</v>
      </c>
      <c r="AG16" s="13"/>
      <c r="AH16" s="13">
        <v>1306.63</v>
      </c>
      <c r="AI16" s="13"/>
      <c r="AJ16" s="13"/>
      <c r="AK16" s="13"/>
      <c r="AL16" s="37"/>
      <c r="AM16" s="15">
        <f t="shared" si="6"/>
        <v>28258114.49</v>
      </c>
      <c r="AN16" s="182"/>
      <c r="AO16" s="182">
        <f>Январь!AO16+Февраль!AO16+Март!AO16+Апрель!AO16+Май!AO16+Июнь!AO16+'Июль 1'!AO16+Август!AO16+Сентябрь!AO16+Октябрь!AO16+Ноябрь!AO16+Декабрь!AO16</f>
        <v>28258114.49</v>
      </c>
      <c r="AP16" s="182"/>
      <c r="AQ16" s="182"/>
      <c r="AR16" s="182"/>
      <c r="AS16" s="182"/>
      <c r="AT16" s="15">
        <f t="shared" si="7"/>
        <v>0</v>
      </c>
      <c r="AU16" s="37"/>
      <c r="AV16" s="37">
        <f>(M16-AH16)*F16</f>
        <v>0</v>
      </c>
      <c r="AW16" s="37"/>
      <c r="AX16" s="37"/>
      <c r="AY16" s="37"/>
      <c r="AZ16" s="13"/>
    </row>
    <row r="17" spans="1:52" ht="58.5" customHeight="1">
      <c r="A17" s="38">
        <v>36</v>
      </c>
      <c r="B17" s="39" t="s">
        <v>37</v>
      </c>
      <c r="C17" s="106"/>
      <c r="D17" s="75">
        <f>SUM(E17:J17)</f>
        <v>253.06752865665047</v>
      </c>
      <c r="E17" s="42"/>
      <c r="F17" s="42"/>
      <c r="G17" s="76"/>
      <c r="H17" s="42"/>
      <c r="I17" s="107"/>
      <c r="J17" s="45">
        <f>Январь!J17+Февраль!J17+Март!J17+Апрель!J17+Май!J17+Июнь!J17+'Июль 1'!J17+Август!J17+Сентябрь!J17+Октябрь!J17+Ноябрь!J17+Декабрь!J17</f>
        <v>253.06752865665047</v>
      </c>
      <c r="K17" s="14">
        <f>R17/D17</f>
        <v>1143.8668229646569</v>
      </c>
      <c r="L17" s="13"/>
      <c r="M17" s="13"/>
      <c r="N17" s="13"/>
      <c r="O17" s="13"/>
      <c r="P17" s="109"/>
      <c r="Q17" s="235">
        <v>1163.85</v>
      </c>
      <c r="R17" s="228">
        <f>SUM(S17:X17)</f>
        <v>289475.55000000005</v>
      </c>
      <c r="S17" s="184"/>
      <c r="T17" s="184"/>
      <c r="U17" s="184"/>
      <c r="V17" s="184"/>
      <c r="W17" s="185"/>
      <c r="X17" s="182">
        <f>Январь!X17+Февраль!X17+Март!X17+Апрель!X17+Май!X17+Июнь!X17+'Июль 1'!X17+Август!X17+Сентябрь!X17+Октябрь!X17+Ноябрь!X17+Декабрь!X17</f>
        <v>289475.55000000005</v>
      </c>
      <c r="Y17" s="64">
        <f>AE17</f>
        <v>253.0677198780138</v>
      </c>
      <c r="Z17" s="42"/>
      <c r="AA17" s="42"/>
      <c r="AB17" s="76"/>
      <c r="AC17" s="42"/>
      <c r="AD17" s="107"/>
      <c r="AE17" s="45">
        <f>Январь!AE17+Февраль!AE17+Март!AE17+Апрель!AE17+Май!AE17+Июнь!AE17+'Июль 1'!AE17+Август!AE17+Сентябрь!AE17+Октябрь!AE17+Ноябрь!AE17+Декабрь!AE17</f>
        <v>253.0677198780138</v>
      </c>
      <c r="AF17" s="14">
        <f>AL17</f>
        <v>1200</v>
      </c>
      <c r="AG17" s="13"/>
      <c r="AH17" s="13"/>
      <c r="AI17" s="13"/>
      <c r="AJ17" s="13"/>
      <c r="AK17" s="109"/>
      <c r="AL17" s="109">
        <v>1200</v>
      </c>
      <c r="AM17" s="14">
        <f>AS17</f>
        <v>288079.28</v>
      </c>
      <c r="AN17" s="184"/>
      <c r="AO17" s="184"/>
      <c r="AP17" s="184"/>
      <c r="AQ17" s="184"/>
      <c r="AR17" s="185"/>
      <c r="AS17" s="182">
        <f>Январь!AS17+Февраль!AS17+Март!AS17+Апрель!AS17+Май!AS17+Июнь!AS17+'Июль 1'!AS17+Август!AS17+Сентябрь!AS17+Октябрь!AS17+Ноябрь!AS17+Декабрь!AS17</f>
        <v>288079.28</v>
      </c>
      <c r="AT17" s="14">
        <f>SUM(AU17:AZ17)</f>
        <v>-9148.391160937937</v>
      </c>
      <c r="AU17" s="13"/>
      <c r="AV17" s="13"/>
      <c r="AW17" s="13"/>
      <c r="AX17" s="13"/>
      <c r="AY17" s="13"/>
      <c r="AZ17" s="37">
        <f>(Q17-AL17)*J17</f>
        <v>-9148.391160937937</v>
      </c>
    </row>
    <row r="18" spans="1:52" ht="88.5" customHeight="1" thickBot="1">
      <c r="A18" s="30"/>
      <c r="B18" s="31" t="s">
        <v>38</v>
      </c>
      <c r="D18" s="75">
        <f>SUM(E18:J18)</f>
        <v>1292.2601261822872</v>
      </c>
      <c r="E18" s="56"/>
      <c r="F18" s="56"/>
      <c r="G18" s="102"/>
      <c r="H18" s="56"/>
      <c r="I18" s="103"/>
      <c r="J18" s="45">
        <f>Январь!J18+Февраль!J18+Март!J18+Апрель!J18+Май!J18+Июнь!J18+'Июль 1'!J18+Август!J18+Сентябрь!J18+Октябрь!J18+Ноябрь!J18+Декабрь!J18</f>
        <v>1292.2601261822872</v>
      </c>
      <c r="K18" s="14">
        <f>R18/D18</f>
        <v>1384.014374322428</v>
      </c>
      <c r="L18" s="36"/>
      <c r="M18" s="36"/>
      <c r="N18" s="36"/>
      <c r="O18" s="36"/>
      <c r="P18" s="105"/>
      <c r="Q18" s="240">
        <v>1200</v>
      </c>
      <c r="R18" s="228">
        <f>SUM(S18:X18)</f>
        <v>1788506.59</v>
      </c>
      <c r="S18" s="186"/>
      <c r="T18" s="186"/>
      <c r="U18" s="186"/>
      <c r="V18" s="186"/>
      <c r="W18" s="187"/>
      <c r="X18" s="182">
        <f>Январь!X18+Февраль!X18+Март!X18+Апрель!X18+Май!X18+Июнь!X18+'Июль 1'!X18+Август!X18+Сентябрь!X18+Октябрь!X18+Ноябрь!X18+Декабрь!X18</f>
        <v>1788506.59</v>
      </c>
      <c r="Y18" s="62">
        <f>AE18</f>
        <v>1292.2549583095781</v>
      </c>
      <c r="Z18" s="56"/>
      <c r="AA18" s="56"/>
      <c r="AB18" s="102"/>
      <c r="AC18" s="56"/>
      <c r="AD18" s="103"/>
      <c r="AE18" s="45">
        <f>Январь!AE18+Февраль!AE18+Март!AE18+Апрель!AE18+Май!AE18+Июнь!AE18+'Июль 1'!AE18+Август!AE18+Сентябрь!AE18+Октябрь!AE18+Ноябрь!AE18+Декабрь!AE18</f>
        <v>1292.2549583095781</v>
      </c>
      <c r="AF18" s="35">
        <f>AL18</f>
        <v>1163.85</v>
      </c>
      <c r="AG18" s="36"/>
      <c r="AH18" s="36"/>
      <c r="AI18" s="36"/>
      <c r="AJ18" s="36"/>
      <c r="AK18" s="105"/>
      <c r="AL18" s="105">
        <v>1163.85</v>
      </c>
      <c r="AM18" s="35">
        <f>AS18</f>
        <v>1486907.97</v>
      </c>
      <c r="AN18" s="186"/>
      <c r="AO18" s="186"/>
      <c r="AP18" s="186"/>
      <c r="AQ18" s="186"/>
      <c r="AR18" s="187"/>
      <c r="AS18" s="182">
        <f>Январь!AS18+Февраль!AS18+Март!AS18+Апрель!AS18+Май!AS18+Июнь!AS18+'Июль 1'!AS18+Август!AS18+Сентябрь!AS18+Октябрь!AS18+Ноябрь!AS18+Декабрь!AS18</f>
        <v>1486907.97</v>
      </c>
      <c r="AT18" s="57">
        <f>SUM(AU18:AZ18)</f>
        <v>46715.2035614898</v>
      </c>
      <c r="AU18" s="50"/>
      <c r="AV18" s="50"/>
      <c r="AW18" s="50"/>
      <c r="AX18" s="50"/>
      <c r="AY18" s="50"/>
      <c r="AZ18" s="37">
        <f>(Q18-AL18)*J18</f>
        <v>46715.2035614898</v>
      </c>
    </row>
    <row r="19" spans="1:65" s="29" customFormat="1" ht="51" customHeight="1" thickBot="1">
      <c r="A19" s="23">
        <v>2</v>
      </c>
      <c r="B19" s="24" t="s">
        <v>0</v>
      </c>
      <c r="C19" s="58" t="s">
        <v>5</v>
      </c>
      <c r="D19" s="26">
        <f aca="true" t="shared" si="8" ref="D19:J19">SUM(D20:D26)</f>
        <v>254967.21290176467</v>
      </c>
      <c r="E19" s="59">
        <f t="shared" si="8"/>
        <v>7160.835400000001</v>
      </c>
      <c r="F19" s="59">
        <f t="shared" si="8"/>
        <v>115631.7528350289</v>
      </c>
      <c r="G19" s="59">
        <f t="shared" si="8"/>
        <v>74082.1749</v>
      </c>
      <c r="H19" s="59">
        <f t="shared" si="8"/>
        <v>8987.0314</v>
      </c>
      <c r="I19" s="59">
        <f t="shared" si="8"/>
        <v>47567.70807807367</v>
      </c>
      <c r="J19" s="59">
        <f t="shared" si="8"/>
        <v>1537.710288662106</v>
      </c>
      <c r="K19" s="27">
        <f>R19/D19</f>
        <v>125.17196633551588</v>
      </c>
      <c r="L19" s="61"/>
      <c r="M19" s="27"/>
      <c r="N19" s="27"/>
      <c r="O19" s="27"/>
      <c r="P19" s="27"/>
      <c r="Q19" s="237"/>
      <c r="R19" s="61">
        <f aca="true" t="shared" si="9" ref="R19:AE19">SUM(R20:R26)</f>
        <v>31914747.389999997</v>
      </c>
      <c r="S19" s="27">
        <f t="shared" si="9"/>
        <v>943362.3799999999</v>
      </c>
      <c r="T19" s="27">
        <f t="shared" si="9"/>
        <v>12921230.249999998</v>
      </c>
      <c r="U19" s="27">
        <f t="shared" si="9"/>
        <v>10276044.77</v>
      </c>
      <c r="V19" s="27">
        <f t="shared" si="9"/>
        <v>1229016.76</v>
      </c>
      <c r="W19" s="27">
        <f t="shared" si="9"/>
        <v>6405444.069999999</v>
      </c>
      <c r="X19" s="27">
        <f t="shared" si="9"/>
        <v>139649.16</v>
      </c>
      <c r="Y19" s="59">
        <f t="shared" si="9"/>
        <v>253374.83097915602</v>
      </c>
      <c r="Z19" s="59">
        <f t="shared" si="9"/>
        <v>7160.827360546214</v>
      </c>
      <c r="AA19" s="59">
        <f t="shared" si="9"/>
        <v>115630.08497580574</v>
      </c>
      <c r="AB19" s="59">
        <f t="shared" si="9"/>
        <v>72772.3391759103</v>
      </c>
      <c r="AC19" s="59">
        <f t="shared" si="9"/>
        <v>8976.549129191062</v>
      </c>
      <c r="AD19" s="59">
        <f t="shared" si="9"/>
        <v>47297.32160828399</v>
      </c>
      <c r="AE19" s="59">
        <f t="shared" si="9"/>
        <v>1537.7087294186772</v>
      </c>
      <c r="AF19" s="28">
        <f>AM19/Y19</f>
        <v>85.2857814507144</v>
      </c>
      <c r="AG19" s="101">
        <f>AG22</f>
        <v>91.01</v>
      </c>
      <c r="AH19" s="101">
        <f>AO19/AA19</f>
        <v>87.72709448516353</v>
      </c>
      <c r="AI19" s="101">
        <f>AP19/AB19</f>
        <v>83.39167310989615</v>
      </c>
      <c r="AJ19" s="101">
        <f>AJ22</f>
        <v>90.44</v>
      </c>
      <c r="AK19" s="27">
        <f>AR19/AD19</f>
        <v>83.55350801318617</v>
      </c>
      <c r="AL19" s="27">
        <f>AL26</f>
        <v>92.66</v>
      </c>
      <c r="AM19" s="27">
        <f aca="true" t="shared" si="10" ref="AM19:AZ19">SUM(AM20:AM26)</f>
        <v>21609270.46</v>
      </c>
      <c r="AN19" s="27">
        <f t="shared" si="10"/>
        <v>589363.54</v>
      </c>
      <c r="AO19" s="27">
        <f t="shared" si="10"/>
        <v>10143891.389999999</v>
      </c>
      <c r="AP19" s="27">
        <f t="shared" si="10"/>
        <v>6068607.12</v>
      </c>
      <c r="AQ19" s="27">
        <f t="shared" si="10"/>
        <v>727692.9</v>
      </c>
      <c r="AR19" s="27">
        <f t="shared" si="10"/>
        <v>3951857.14</v>
      </c>
      <c r="AS19" s="27">
        <f t="shared" si="10"/>
        <v>127858.37000000001</v>
      </c>
      <c r="AT19" s="118">
        <f t="shared" si="10"/>
        <v>33.86902000001733</v>
      </c>
      <c r="AU19" s="27">
        <f t="shared" si="10"/>
        <v>0</v>
      </c>
      <c r="AV19" s="27">
        <f t="shared" si="10"/>
        <v>0</v>
      </c>
      <c r="AW19" s="27">
        <f t="shared" si="10"/>
        <v>33.86902000001733</v>
      </c>
      <c r="AX19" s="27">
        <f t="shared" si="10"/>
        <v>0</v>
      </c>
      <c r="AY19" s="27">
        <f t="shared" si="10"/>
        <v>0</v>
      </c>
      <c r="AZ19" s="27">
        <f t="shared" si="10"/>
        <v>0</v>
      </c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</row>
    <row r="20" spans="1:52" s="4" customFormat="1" ht="41.25" customHeight="1">
      <c r="A20" s="70"/>
      <c r="B20" s="47" t="s">
        <v>24</v>
      </c>
      <c r="C20" s="47"/>
      <c r="D20" s="64">
        <f aca="true" t="shared" si="11" ref="D20:D25">SUM(E20:I20)</f>
        <v>3386.902</v>
      </c>
      <c r="E20" s="69"/>
      <c r="F20" s="98"/>
      <c r="G20" s="45">
        <f>Январь!G20+Февраль!G20+Март!G20+Апрель!G20+Май!G20+Июнь!G20+'Июль 1'!G20+Август!G20+Сентябрь!G20+Октябрь!G20+Ноябрь!G20+Декабрь!G20</f>
        <v>3386.902</v>
      </c>
      <c r="H20" s="69"/>
      <c r="I20" s="69"/>
      <c r="J20" s="34"/>
      <c r="K20" s="14">
        <f>R20/D20</f>
        <v>185.49238507639134</v>
      </c>
      <c r="L20" s="50"/>
      <c r="M20" s="73"/>
      <c r="N20" s="142">
        <v>104.39</v>
      </c>
      <c r="O20" s="50"/>
      <c r="P20" s="50"/>
      <c r="Q20" s="241"/>
      <c r="R20" s="230">
        <f aca="true" t="shared" si="12" ref="R20:R25">SUM(S20:W20)</f>
        <v>628244.53</v>
      </c>
      <c r="S20" s="189"/>
      <c r="T20" s="190"/>
      <c r="U20" s="37">
        <f>Январь!U20+Февраль!U20+Март!U20+Апрель!U20+Май!U20+Июнь!U20+'Июль 1'!U20+Август!U20+Сентябрь!U20+Октябрь!U20+Ноябрь!U20+Декабрь!U20</f>
        <v>628244.53</v>
      </c>
      <c r="V20" s="189"/>
      <c r="W20" s="189"/>
      <c r="X20" s="191"/>
      <c r="Y20" s="100">
        <f aca="true" t="shared" si="13" ref="Y20:Y25">SUM(Z20:AD20)</f>
        <v>3386.9040932164503</v>
      </c>
      <c r="Z20" s="193"/>
      <c r="AA20" s="194"/>
      <c r="AB20" s="195">
        <f>Январь!AB20+Февраль!AB20+Март!AB20+Апрель!AB20+Май!AB20+Июнь!AB20+'Июль 1'!AB20+Август!AB20+Сентябрь!AB20+Октябрь!AB20+Ноябрь!AB20+Декабрь!AB20</f>
        <v>3386.9040932164503</v>
      </c>
      <c r="AC20" s="193"/>
      <c r="AD20" s="193"/>
      <c r="AE20" s="138"/>
      <c r="AF20" s="63">
        <f>AI20</f>
        <v>104.38</v>
      </c>
      <c r="AG20" s="73"/>
      <c r="AH20" s="73"/>
      <c r="AI20" s="73">
        <v>104.38</v>
      </c>
      <c r="AJ20" s="73"/>
      <c r="AK20" s="73"/>
      <c r="AL20" s="73"/>
      <c r="AM20" s="63">
        <f aca="true" t="shared" si="14" ref="AM20:AM25">SUM(AN20:AR20)</f>
        <v>301344.83</v>
      </c>
      <c r="AN20" s="189"/>
      <c r="AO20" s="190"/>
      <c r="AP20" s="37">
        <f>Январь!AP20+Февраль!AP20+Март!AP20+Апрель!AP20+Май!AP20+Июнь!AP20+'Июль 1'!AP20+Август!AP20+Сентябрь!AP20+Октябрь!AP20+Ноябрь!AP20+Декабрь!AP20</f>
        <v>301344.83</v>
      </c>
      <c r="AQ20" s="189"/>
      <c r="AR20" s="189"/>
      <c r="AS20" s="191"/>
      <c r="AT20" s="63">
        <f aca="true" t="shared" si="15" ref="AT20:AT25">SUM(AU20:AY20)</f>
        <v>33.86902000001733</v>
      </c>
      <c r="AU20" s="73"/>
      <c r="AV20" s="73"/>
      <c r="AW20" s="37">
        <f>(N20-AI20)*G20</f>
        <v>33.86902000001733</v>
      </c>
      <c r="AX20" s="73"/>
      <c r="AY20" s="73"/>
      <c r="AZ20" s="73"/>
    </row>
    <row r="21" spans="1:52" s="4" customFormat="1" ht="58.5" customHeight="1">
      <c r="A21" s="66"/>
      <c r="B21" s="55" t="s">
        <v>43</v>
      </c>
      <c r="C21" s="47"/>
      <c r="D21" s="62">
        <f t="shared" si="11"/>
        <v>2669.7370000000005</v>
      </c>
      <c r="E21" s="188"/>
      <c r="F21" s="42">
        <f>Январь!F21+Февраль!F21+Март!F21+Апрель!F21+Май!F21+Июнь!F21+'Июль 1'!F21+Август!F21+Сентябрь!F21+Октябрь!F21+Ноябрь!F21+Декабрь!F21</f>
        <v>2669.7370000000005</v>
      </c>
      <c r="G21" s="65"/>
      <c r="H21" s="65"/>
      <c r="I21" s="65"/>
      <c r="J21" s="69"/>
      <c r="K21" s="57">
        <f>R21/D21</f>
        <v>98.60555552850336</v>
      </c>
      <c r="L21" s="50"/>
      <c r="M21" s="36">
        <v>83.75</v>
      </c>
      <c r="N21" s="50"/>
      <c r="O21" s="50"/>
      <c r="P21" s="50"/>
      <c r="Q21" s="241"/>
      <c r="R21" s="229">
        <f t="shared" si="12"/>
        <v>263250.9</v>
      </c>
      <c r="S21" s="192"/>
      <c r="T21" s="13">
        <f>Январь!T21+Февраль!T21+Март!T21+Апрель!T21+Май!T21+Июнь!T21+'Июль 1'!T21+Август!T21+Сентябрь!T21+Октябрь!T21+Ноябрь!T21+Декабрь!T21</f>
        <v>263250.9</v>
      </c>
      <c r="U21" s="12"/>
      <c r="V21" s="12"/>
      <c r="W21" s="12"/>
      <c r="X21" s="189"/>
      <c r="Y21" s="62">
        <f t="shared" si="13"/>
        <v>2669.7358530892284</v>
      </c>
      <c r="Z21" s="196"/>
      <c r="AA21" s="197">
        <f>Январь!AA21+Февраль!AA21+Март!AA21+Апрель!AA21+Май!AA21+Июнь!AA21+'Июль 1'!AA21+Август!AA21+Сентябрь!AA21+Октябрь!AA21+Ноябрь!AA21+Декабрь!AA21</f>
        <v>2669.7358530892284</v>
      </c>
      <c r="AB21" s="140"/>
      <c r="AC21" s="140"/>
      <c r="AD21" s="140"/>
      <c r="AE21" s="193"/>
      <c r="AF21" s="14">
        <f>AH21</f>
        <v>83.75</v>
      </c>
      <c r="AG21" s="36"/>
      <c r="AH21" s="36">
        <v>83.75</v>
      </c>
      <c r="AI21" s="36"/>
      <c r="AJ21" s="36"/>
      <c r="AK21" s="36"/>
      <c r="AL21" s="36"/>
      <c r="AM21" s="35">
        <f t="shared" si="14"/>
        <v>207516.36000000002</v>
      </c>
      <c r="AN21" s="192"/>
      <c r="AO21" s="13">
        <f>Январь!AO21+Февраль!AO21+Март!AO21+Апрель!AO21+Май!AO21+Июнь!AO21+'Июль 1'!AO21+Август!AO21+Сентябрь!AO21+Октябрь!AO21+Ноябрь!AO21+Декабрь!AO21</f>
        <v>207516.36000000002</v>
      </c>
      <c r="AP21" s="12"/>
      <c r="AQ21" s="12"/>
      <c r="AR21" s="12"/>
      <c r="AS21" s="189"/>
      <c r="AT21" s="35">
        <f t="shared" si="15"/>
        <v>0</v>
      </c>
      <c r="AU21" s="13"/>
      <c r="AV21" s="13">
        <f>(M21-AH21)*F21</f>
        <v>0</v>
      </c>
      <c r="AW21" s="13"/>
      <c r="AX21" s="13"/>
      <c r="AY21" s="13"/>
      <c r="AZ21" s="36"/>
    </row>
    <row r="22" spans="1:52" ht="40.5" customHeight="1">
      <c r="A22" s="9"/>
      <c r="B22" s="39" t="s">
        <v>35</v>
      </c>
      <c r="C22" s="40"/>
      <c r="D22" s="64">
        <f t="shared" si="11"/>
        <v>133275.73829999997</v>
      </c>
      <c r="E22" s="45">
        <f>Январь!E22+Февраль!E22+Март!E22+Апрель!E22+Май!E22+Июнь!E22+'Июль 1'!E22+Август!E22+Сентябрь!E22+Октябрь!E22+Ноябрь!E22+Декабрь!E22</f>
        <v>7160.835400000001</v>
      </c>
      <c r="F22" s="45">
        <f>Январь!F22+Февраль!F22+Март!F22+Апрель!F22+Май!F22+Июнь!F22+'Июль 1'!F22+Август!F22+Сентябрь!F22+Октябрь!F22+Ноябрь!F22+Декабрь!F22</f>
        <v>4367.8533</v>
      </c>
      <c r="G22" s="45">
        <f>Январь!G22+Февраль!G22+Март!G22+Апрель!G22+Май!G22+Июнь!G22+'Июль 1'!G22+Август!G22+Сентябрь!G22+Октябрь!G22+Ноябрь!G22+Декабрь!G22</f>
        <v>70695.2729</v>
      </c>
      <c r="H22" s="45">
        <f>Январь!H22+Февраль!H22+Март!H22+Апрель!H22+Май!H22+Июнь!H22+'Июль 1'!H22+Август!H22+Сентябрь!H22+Октябрь!H22+Ноябрь!H22+Декабрь!H22</f>
        <v>8987.0314</v>
      </c>
      <c r="I22" s="45">
        <f>Январь!I22+Февраль!I22+Март!I22+Апрель!I22+Май!I22+Июнь!I22+'Июль 1'!I22+Август!I22+Сентябрь!I22+Октябрь!I22+Ноябрь!I22+Декабрь!I22</f>
        <v>42064.745299999995</v>
      </c>
      <c r="J22" s="65"/>
      <c r="K22" s="14">
        <f>R22/D22</f>
        <v>136.18125730540413</v>
      </c>
      <c r="L22" s="127">
        <v>91.01</v>
      </c>
      <c r="M22" s="13">
        <v>94.26</v>
      </c>
      <c r="N22" s="13">
        <f>M22</f>
        <v>94.26</v>
      </c>
      <c r="O22" s="13">
        <v>90.44</v>
      </c>
      <c r="P22" s="127">
        <v>94.26</v>
      </c>
      <c r="Q22" s="235"/>
      <c r="R22" s="228">
        <f t="shared" si="12"/>
        <v>18149657.61</v>
      </c>
      <c r="S22" s="37">
        <f>Январь!S22+Февраль!S22+Март!S22+Апрель!S22+Май!S22+Июнь!S22+'Июль 1'!S22+Август!S22+Сентябрь!S22+Октябрь!S22+Ноябрь!S22+Декабрь!S22</f>
        <v>943362.3799999999</v>
      </c>
      <c r="T22" s="37">
        <f>Январь!T22+Февраль!T22+Март!T22+Апрель!T22+Май!T22+Июнь!T22+'Июль 1'!T22+Август!T22+Сентябрь!T22+Октябрь!T22+Ноябрь!T22+Декабрь!T22</f>
        <v>606157.87</v>
      </c>
      <c r="U22" s="37">
        <f>Январь!U22+Февраль!U22+Март!U22+Апрель!U22+Май!U22+Июнь!U22+'Июль 1'!U22+Август!U22+Сентябрь!U22+Октябрь!U22+Ноябрь!U22+Декабрь!U22</f>
        <v>9647800.24</v>
      </c>
      <c r="V22" s="37">
        <f>Январь!V22+Февраль!V22+Март!V22+Апрель!V22+Май!V22+Июнь!V22+'Июль 1'!V22+Август!V22+Сентябрь!V22+Октябрь!V22+Ноябрь!V22+Декабрь!V22</f>
        <v>1229016.76</v>
      </c>
      <c r="W22" s="37">
        <f>Январь!W22+Февраль!W22+Март!W22+Апрель!W22+Май!W22+Июнь!W22+'Июль 1'!W22+Август!W22+Сентябрь!W22+Октябрь!W22+Ноябрь!W22+Декабрь!W22</f>
        <v>5723320.359999999</v>
      </c>
      <c r="X22" s="12"/>
      <c r="Y22" s="64">
        <f t="shared" si="13"/>
        <v>131680.31734710673</v>
      </c>
      <c r="Z22" s="195">
        <f>Январь!Z22+Февраль!Z22+Март!Z22+Апрель!Z22+Май!Z22+Июнь!Z22+'Июль 1'!Z22+Август!Z22+Сентябрь!Z22+Октябрь!Z22+Ноябрь!Z22+Декабрь!Z22</f>
        <v>7160.827360546214</v>
      </c>
      <c r="AA22" s="195">
        <f>Январь!AA22+Февраль!AA22+Март!AA22+Апрель!AA22+Май!AA22+Июнь!AA22+'Июль 1'!AA22+Август!AA22+Сентябрь!AA22+Октябрь!AA22+Ноябрь!AA22+Декабрь!AA22</f>
        <v>4363.147504645005</v>
      </c>
      <c r="AB22" s="195">
        <f>Январь!AB22+Февраль!AB22+Март!AB22+Апрель!AB22+Май!AB22+Июнь!AB22+'Июль 1'!AB22+Август!AB22+Сентябрь!AB22+Октябрь!AB22+Ноябрь!AB22+Декабрь!AB22</f>
        <v>69385.43508269385</v>
      </c>
      <c r="AC22" s="195">
        <f>Январь!AC22+Февраль!AC22+Март!AC22+Апрель!AC22+Май!AC22+Июнь!AC22+'Июль 1'!AC22+Август!AC22+Сентябрь!AC22+Октябрь!AC22+Ноябрь!AC22+Декабрь!AC22</f>
        <v>8976.549129191062</v>
      </c>
      <c r="AD22" s="195">
        <f>Январь!AD22+Февраль!AD22+Март!AD22+Апрель!AD22+Май!AD22+Июнь!AD22+'Июль 1'!AD22+Август!AD22+Сентябрь!AD22+Октябрь!AD22+Ноябрь!AD22+Декабрь!AD22</f>
        <v>41794.35827003059</v>
      </c>
      <c r="AE22" s="140"/>
      <c r="AF22" s="14">
        <f>AM22/Y22</f>
        <v>83.1252570659187</v>
      </c>
      <c r="AG22" s="13">
        <v>91.01</v>
      </c>
      <c r="AH22" s="13">
        <v>94.26</v>
      </c>
      <c r="AI22" s="13">
        <f>AH22</f>
        <v>94.26</v>
      </c>
      <c r="AJ22" s="13">
        <v>90.44</v>
      </c>
      <c r="AK22" s="13">
        <f>AH22</f>
        <v>94.26</v>
      </c>
      <c r="AL22" s="13"/>
      <c r="AM22" s="14">
        <f t="shared" si="14"/>
        <v>10945960.23</v>
      </c>
      <c r="AN22" s="37">
        <f>Январь!AN22+Февраль!AN22+Март!AN22+Апрель!AN22+Май!AN22+Июнь!AN22+'Июль 1'!AN22+Август!AN22+Сентябрь!AN22+Октябрь!AN22+Ноябрь!AN22+Декабрь!AN22</f>
        <v>589363.54</v>
      </c>
      <c r="AO22" s="37">
        <f>Январь!AO22+Февраль!AO22+Март!AO22+Апрель!AO22+Май!AO22+Июнь!AO22+'Июль 1'!AO22+Август!AO22+Сентябрь!AO22+Октябрь!AO22+Ноябрь!AO22+Декабрь!AO22</f>
        <v>360238.46</v>
      </c>
      <c r="AP22" s="37">
        <f>Январь!AP22+Февраль!AP22+Март!AP22+Апрель!AP22+Май!AP22+Июнь!AP22+'Июль 1'!AP22+Август!AP22+Сентябрь!AP22+Октябрь!AP22+Ноябрь!AP22+Декабрь!AP22</f>
        <v>5767262.29</v>
      </c>
      <c r="AQ22" s="37">
        <f>Январь!AQ22+Февраль!AQ22+Март!AQ22+Апрель!AQ22+Май!AQ22+Июнь!AQ22+'Июль 1'!AQ22+Август!AQ22+Сентябрь!AQ22+Октябрь!AQ22+Ноябрь!AQ22+Декабрь!AQ22</f>
        <v>727692.9</v>
      </c>
      <c r="AR22" s="37">
        <f>Январь!AR22+Февраль!AR22+Март!AR22+Апрель!AR22+Май!AR22+Июнь!AR22+'Июль 1'!AR22+Август!AR22+Сентябрь!AR22+Октябрь!AR22+Ноябрь!AR22+Декабрь!AR22</f>
        <v>3501403.04</v>
      </c>
      <c r="AS22" s="12"/>
      <c r="AT22" s="14">
        <f t="shared" si="15"/>
        <v>0</v>
      </c>
      <c r="AU22" s="37">
        <f>(L22-AG22)*E22</f>
        <v>0</v>
      </c>
      <c r="AV22" s="37">
        <f>(M22-AH22)*F22</f>
        <v>0</v>
      </c>
      <c r="AW22" s="37">
        <f>(N22-AI22)*G22</f>
        <v>0</v>
      </c>
      <c r="AX22" s="37">
        <f>(O22-AJ22)*H22</f>
        <v>0</v>
      </c>
      <c r="AY22" s="37">
        <f>(P22-AK22)*I22</f>
        <v>0</v>
      </c>
      <c r="AZ22" s="13"/>
    </row>
    <row r="23" spans="1:52" s="4" customFormat="1" ht="42" customHeight="1">
      <c r="A23" s="66"/>
      <c r="B23" s="39" t="s">
        <v>23</v>
      </c>
      <c r="C23" s="39"/>
      <c r="D23" s="64">
        <f t="shared" si="11"/>
        <v>5856.243</v>
      </c>
      <c r="E23" s="65"/>
      <c r="F23" s="45">
        <f>Январь!F23+Февраль!F23+Март!F23+Апрель!F23+Май!F23+Июнь!F23+'Июль 1'!F23+Август!F23+Сентябрь!F23+Октябрь!F23+Ноябрь!F23+Декабрь!F23</f>
        <v>5856.243</v>
      </c>
      <c r="G23" s="65"/>
      <c r="H23" s="65"/>
      <c r="I23" s="65"/>
      <c r="J23" s="65"/>
      <c r="K23" s="14">
        <f aca="true" t="shared" si="16" ref="K23:K46">R23/D23</f>
        <v>99.74417557468158</v>
      </c>
      <c r="L23" s="13"/>
      <c r="M23" s="13">
        <v>90.68</v>
      </c>
      <c r="N23" s="13"/>
      <c r="O23" s="13"/>
      <c r="P23" s="13"/>
      <c r="Q23" s="235"/>
      <c r="R23" s="228">
        <f t="shared" si="12"/>
        <v>584126.13</v>
      </c>
      <c r="S23" s="12"/>
      <c r="T23" s="37">
        <f>Январь!T23+Февраль!T23+Март!T23+Апрель!T23+Май!T23+Июнь!T23+'Июль 1'!T23+Август!T23+Сентябрь!T23+Октябрь!T23+Ноябрь!T23+Декабрь!T23</f>
        <v>584126.13</v>
      </c>
      <c r="U23" s="12"/>
      <c r="V23" s="12"/>
      <c r="W23" s="12"/>
      <c r="X23" s="12"/>
      <c r="Y23" s="64">
        <f t="shared" si="13"/>
        <v>5856.2459652704665</v>
      </c>
      <c r="Z23" s="140"/>
      <c r="AA23" s="195">
        <f>Январь!AA23+Февраль!AA23+Март!AA23+Апрель!AA23+Май!AA23+Июнь!AA23+'Июль 1'!AA23+Август!AA23+Сентябрь!AA23+Октябрь!AA23+Ноябрь!AA23+Декабрь!AA23</f>
        <v>5856.2459652704665</v>
      </c>
      <c r="AB23" s="140"/>
      <c r="AC23" s="140"/>
      <c r="AD23" s="140"/>
      <c r="AE23" s="140"/>
      <c r="AF23" s="15">
        <f>AH23</f>
        <v>90.68</v>
      </c>
      <c r="AG23" s="13"/>
      <c r="AH23" s="13">
        <v>90.68</v>
      </c>
      <c r="AI23" s="13"/>
      <c r="AJ23" s="13"/>
      <c r="AK23" s="13"/>
      <c r="AL23" s="13"/>
      <c r="AM23" s="14">
        <f t="shared" si="14"/>
        <v>484946.95</v>
      </c>
      <c r="AN23" s="12"/>
      <c r="AO23" s="37">
        <f>Январь!AO23+Февраль!AO23+Март!AO23+Апрель!AO23+Май!AO23+Июнь!AO23+'Июль 1'!AO23+Август!AO23+Сентябрь!AO23+Октябрь!AO23+Ноябрь!AO23+Декабрь!AO23</f>
        <v>484946.95</v>
      </c>
      <c r="AP23" s="12"/>
      <c r="AQ23" s="12"/>
      <c r="AR23" s="12"/>
      <c r="AS23" s="12"/>
      <c r="AT23" s="14">
        <f t="shared" si="15"/>
        <v>0</v>
      </c>
      <c r="AU23" s="13"/>
      <c r="AV23" s="37">
        <f>(M23-AH23)*F23</f>
        <v>0</v>
      </c>
      <c r="AW23" s="13"/>
      <c r="AX23" s="13"/>
      <c r="AY23" s="13"/>
      <c r="AZ23" s="13"/>
    </row>
    <row r="24" spans="1:52" s="4" customFormat="1" ht="57" customHeight="1">
      <c r="A24" s="66"/>
      <c r="B24" s="43" t="s">
        <v>41</v>
      </c>
      <c r="C24" s="43"/>
      <c r="D24" s="67">
        <f t="shared" si="11"/>
        <v>102737.91953502891</v>
      </c>
      <c r="E24" s="34"/>
      <c r="F24" s="45">
        <f>Январь!F24+Февраль!F24+Март!F24+Апрель!F24+Май!F24+Июнь!F24+'Июль 1'!F24+Август!F24+Сентябрь!F24+Октябрь!F24+Ноябрь!F24+Декабрь!F24</f>
        <v>102737.91953502891</v>
      </c>
      <c r="G24" s="34"/>
      <c r="H24" s="34"/>
      <c r="I24" s="97"/>
      <c r="J24" s="97"/>
      <c r="K24" s="15">
        <f t="shared" si="16"/>
        <v>111.62086405779358</v>
      </c>
      <c r="L24" s="37"/>
      <c r="M24" s="139">
        <v>103.34</v>
      </c>
      <c r="N24" s="37"/>
      <c r="O24" s="37"/>
      <c r="P24" s="37"/>
      <c r="Q24" s="239"/>
      <c r="R24" s="227">
        <f t="shared" si="12"/>
        <v>11467695.349999998</v>
      </c>
      <c r="S24" s="191"/>
      <c r="T24" s="37">
        <f>Январь!T24+Февраль!T24+Март!T24+Апрель!T24+Май!T24+Июнь!T24+'Июль 1'!T24+Август!T24+Сентябрь!T24+Октябрь!T24+Ноябрь!T24+Декабрь!T24</f>
        <v>11467695.349999998</v>
      </c>
      <c r="U24" s="191"/>
      <c r="V24" s="191"/>
      <c r="W24" s="16"/>
      <c r="X24" s="16"/>
      <c r="Y24" s="67">
        <f t="shared" si="13"/>
        <v>102740.95565280104</v>
      </c>
      <c r="Z24" s="138"/>
      <c r="AA24" s="195">
        <f>Январь!AA24+Февраль!AA24+Март!AA24+Апрель!AA24+Май!AA24+Июнь!AA24+'Июль 1'!AA24+Август!AA24+Сентябрь!AA24+Октябрь!AA24+Ноябрь!AA24+Декабрь!AA24</f>
        <v>102740.95565280104</v>
      </c>
      <c r="AB24" s="138"/>
      <c r="AC24" s="138"/>
      <c r="AD24" s="132"/>
      <c r="AE24" s="132"/>
      <c r="AF24" s="15">
        <f>AH24</f>
        <v>103.34</v>
      </c>
      <c r="AG24" s="37"/>
      <c r="AH24" s="37">
        <v>103.34</v>
      </c>
      <c r="AI24" s="37"/>
      <c r="AJ24" s="37"/>
      <c r="AK24" s="37"/>
      <c r="AL24" s="37"/>
      <c r="AM24" s="15">
        <f t="shared" si="14"/>
        <v>9091189.62</v>
      </c>
      <c r="AN24" s="191"/>
      <c r="AO24" s="37">
        <f>Январь!AO24+Февраль!AO24+Март!AO24+Апрель!AO24+Май!AO24+Июнь!AO24+'Июль 1'!AO24+Август!AO24+Сентябрь!AO24+Октябрь!AO24+Ноябрь!AO24+Декабрь!AO24</f>
        <v>9091189.62</v>
      </c>
      <c r="AP24" s="191"/>
      <c r="AQ24" s="191"/>
      <c r="AR24" s="16"/>
      <c r="AS24" s="16"/>
      <c r="AT24" s="15">
        <f t="shared" si="15"/>
        <v>0</v>
      </c>
      <c r="AU24" s="37"/>
      <c r="AV24" s="37">
        <f>(M24-AH24)*F24</f>
        <v>0</v>
      </c>
      <c r="AW24" s="37"/>
      <c r="AX24" s="37"/>
      <c r="AY24" s="37"/>
      <c r="AZ24" s="37"/>
    </row>
    <row r="25" spans="1:52" ht="65.25" customHeight="1">
      <c r="A25" s="9"/>
      <c r="B25" s="39" t="s">
        <v>42</v>
      </c>
      <c r="C25" s="40"/>
      <c r="D25" s="64">
        <f t="shared" si="11"/>
        <v>5502.962778073678</v>
      </c>
      <c r="E25" s="65"/>
      <c r="F25" s="65"/>
      <c r="G25" s="65"/>
      <c r="H25" s="65"/>
      <c r="I25" s="45">
        <f>Январь!I25+Февраль!I25+Март!I25+Апрель!I25+Май!I25+Июнь!I25+'Июль 1'!I25+Август!I25+Сентябрь!I25+Октябрь!I25+Ноябрь!I25+Декабрь!I25</f>
        <v>5502.962778073678</v>
      </c>
      <c r="J25" s="65"/>
      <c r="K25" s="14">
        <f t="shared" si="16"/>
        <v>123.95571940226326</v>
      </c>
      <c r="L25" s="13"/>
      <c r="M25" s="13"/>
      <c r="N25" s="13"/>
      <c r="O25" s="13"/>
      <c r="P25" s="13">
        <v>90.12</v>
      </c>
      <c r="Q25" s="235"/>
      <c r="R25" s="228">
        <f t="shared" si="12"/>
        <v>682123.71</v>
      </c>
      <c r="S25" s="12"/>
      <c r="T25" s="12"/>
      <c r="U25" s="12"/>
      <c r="V25" s="12"/>
      <c r="W25" s="37">
        <f>Январь!W25+Февраль!W25+Март!W25+Апрель!W25+Май!W25+Июнь!W25+'Июль 1'!W25+Август!W25+Сентябрь!W25+Октябрь!W25+Ноябрь!W25+Декабрь!W25</f>
        <v>682123.71</v>
      </c>
      <c r="X25" s="12"/>
      <c r="Y25" s="64">
        <f t="shared" si="13"/>
        <v>5502.963338253404</v>
      </c>
      <c r="Z25" s="140"/>
      <c r="AA25" s="140"/>
      <c r="AB25" s="140"/>
      <c r="AC25" s="140"/>
      <c r="AD25" s="195">
        <f>Январь!AD25+Февраль!AD25+Март!AD25+Апрель!AD25+Май!AD25+Июнь!AD25+'Июль 1'!AD25+Август!AD25+Сентябрь!AD25+Октябрь!AD25+Ноябрь!AD25+Декабрь!AD25</f>
        <v>5502.963338253404</v>
      </c>
      <c r="AE25" s="140"/>
      <c r="AF25" s="14">
        <f>AK25</f>
        <v>90.12</v>
      </c>
      <c r="AG25" s="13"/>
      <c r="AH25" s="13"/>
      <c r="AI25" s="13"/>
      <c r="AJ25" s="13"/>
      <c r="AK25" s="37">
        <v>90.12</v>
      </c>
      <c r="AL25" s="13"/>
      <c r="AM25" s="14">
        <f t="shared" si="14"/>
        <v>450454.0999999999</v>
      </c>
      <c r="AN25" s="12"/>
      <c r="AO25" s="12"/>
      <c r="AP25" s="12"/>
      <c r="AQ25" s="12"/>
      <c r="AR25" s="37">
        <f>Январь!AR25+Февраль!AR25+Март!AR25+Апрель!AR25+Май!AR25+Июнь!AR25+'Июль 1'!AR25+Август!AR25+Сентябрь!AR25+Октябрь!AR25+Ноябрь!AR25+Декабрь!AR25</f>
        <v>450454.0999999999</v>
      </c>
      <c r="AS25" s="12"/>
      <c r="AT25" s="14">
        <f t="shared" si="15"/>
        <v>0</v>
      </c>
      <c r="AU25" s="37"/>
      <c r="AV25" s="37"/>
      <c r="AW25" s="37"/>
      <c r="AX25" s="37"/>
      <c r="AY25" s="37">
        <f>(P25-AK25)*I25</f>
        <v>0</v>
      </c>
      <c r="AZ25" s="13"/>
    </row>
    <row r="26" spans="1:52" ht="58.5" customHeight="1" thickBot="1">
      <c r="A26" s="38">
        <v>36</v>
      </c>
      <c r="B26" s="39" t="s">
        <v>37</v>
      </c>
      <c r="C26" s="106"/>
      <c r="D26" s="62">
        <f>SUM(E26:J26)</f>
        <v>1537.710288662106</v>
      </c>
      <c r="E26" s="42"/>
      <c r="F26" s="42"/>
      <c r="G26" s="76"/>
      <c r="H26" s="42"/>
      <c r="I26" s="107"/>
      <c r="J26" s="45">
        <f>Январь!J26+Февраль!J26+Март!J26+Апрель!J26+Май!J26+Июнь!J26+'Июль 1'!J26+Август!J26+Сентябрь!J26+Октябрь!J26+Ноябрь!J26+Декабрь!J26</f>
        <v>1537.710288662106</v>
      </c>
      <c r="K26" s="35">
        <f t="shared" si="16"/>
        <v>90.81630072300719</v>
      </c>
      <c r="L26" s="108"/>
      <c r="M26" s="13"/>
      <c r="N26" s="13"/>
      <c r="O26" s="13"/>
      <c r="P26" s="13"/>
      <c r="Q26" s="242">
        <v>92.66</v>
      </c>
      <c r="R26" s="231">
        <f>SUM(S26:X26)</f>
        <v>139649.16</v>
      </c>
      <c r="S26" s="13"/>
      <c r="T26" s="13"/>
      <c r="U26" s="13"/>
      <c r="V26" s="13"/>
      <c r="W26" s="109"/>
      <c r="X26" s="37">
        <f>Январь!X26+Февраль!X26+Март!X26+Апрель!X26+Май!X26+Июнь!X26+'Июль 1'!X26+Август!X26+Сентябрь!X26+Октябрь!X26+Ноябрь!X26+Декабрь!X26</f>
        <v>139649.16</v>
      </c>
      <c r="Y26" s="64">
        <f>AE26</f>
        <v>1537.7087294186772</v>
      </c>
      <c r="Z26" s="197"/>
      <c r="AA26" s="197"/>
      <c r="AB26" s="197"/>
      <c r="AC26" s="197"/>
      <c r="AD26" s="198"/>
      <c r="AE26" s="195">
        <f>Январь!AE26+Февраль!AE26+Март!AE26+Апрель!AE26+Май!AE26+Июнь!AE26+'Июль 1'!AE26+Август!AE26+Сентябрь!AE26+Октябрь!AE26+Ноябрь!AE26+Декабрь!AE26</f>
        <v>1537.7087294186772</v>
      </c>
      <c r="AF26" s="14">
        <f>AL26</f>
        <v>92.66</v>
      </c>
      <c r="AG26" s="13"/>
      <c r="AH26" s="13"/>
      <c r="AI26" s="13"/>
      <c r="AJ26" s="13"/>
      <c r="AK26" s="109"/>
      <c r="AL26" s="109">
        <v>92.66</v>
      </c>
      <c r="AM26" s="14">
        <f>AS26</f>
        <v>127858.37000000001</v>
      </c>
      <c r="AN26" s="13"/>
      <c r="AO26" s="13"/>
      <c r="AP26" s="13"/>
      <c r="AQ26" s="13"/>
      <c r="AR26" s="109"/>
      <c r="AS26" s="37">
        <f>Январь!AS26+Февраль!AS26+Март!AS26+Апрель!AS26+Май!AS26+Июнь!AS26+'Июль 1'!AS26+Август!AS26+Сентябрь!AS26+Октябрь!AS26+Ноябрь!AS26+Декабрь!AS26</f>
        <v>127858.37000000001</v>
      </c>
      <c r="AT26" s="57">
        <f>SUM(AU26:AZ26)</f>
        <v>0</v>
      </c>
      <c r="AU26" s="36"/>
      <c r="AV26" s="36"/>
      <c r="AW26" s="36"/>
      <c r="AX26" s="36"/>
      <c r="AY26" s="36"/>
      <c r="AZ26" s="37">
        <f>(Q26-AL26)*J26</f>
        <v>0</v>
      </c>
    </row>
    <row r="27" spans="1:65" s="29" customFormat="1" ht="54" customHeight="1" thickBot="1">
      <c r="A27" s="23">
        <v>3</v>
      </c>
      <c r="B27" s="24" t="s">
        <v>1</v>
      </c>
      <c r="C27" s="24" t="s">
        <v>5</v>
      </c>
      <c r="D27" s="71">
        <f aca="true" t="shared" si="17" ref="D27:J27">SUM(D28:D36)</f>
        <v>878000.2556054463</v>
      </c>
      <c r="E27" s="71">
        <f t="shared" si="17"/>
        <v>107434.38980787704</v>
      </c>
      <c r="F27" s="71">
        <f t="shared" si="17"/>
        <v>363854.6939181366</v>
      </c>
      <c r="G27" s="71">
        <f t="shared" si="17"/>
        <v>176132.07021276598</v>
      </c>
      <c r="H27" s="71">
        <f t="shared" si="17"/>
        <v>118957.48999999999</v>
      </c>
      <c r="I27" s="71">
        <f t="shared" si="17"/>
        <v>99828.41166666668</v>
      </c>
      <c r="J27" s="71">
        <f t="shared" si="17"/>
        <v>11793.199999999999</v>
      </c>
      <c r="K27" s="28">
        <f t="shared" si="16"/>
        <v>22.380874498094062</v>
      </c>
      <c r="L27" s="28"/>
      <c r="M27" s="28"/>
      <c r="N27" s="28"/>
      <c r="O27" s="28"/>
      <c r="P27" s="28"/>
      <c r="Q27" s="237"/>
      <c r="R27" s="232">
        <f aca="true" t="shared" si="18" ref="R27:AE27">SUM(R28:R36)</f>
        <v>19650413.53</v>
      </c>
      <c r="S27" s="28">
        <f t="shared" si="18"/>
        <v>2441696.02</v>
      </c>
      <c r="T27" s="28">
        <f t="shared" si="18"/>
        <v>8837640.75</v>
      </c>
      <c r="U27" s="28">
        <f t="shared" si="18"/>
        <v>3648694.81</v>
      </c>
      <c r="V27" s="28">
        <f t="shared" si="18"/>
        <v>2429798.6499999994</v>
      </c>
      <c r="W27" s="28">
        <f t="shared" si="18"/>
        <v>2012797.6199999999</v>
      </c>
      <c r="X27" s="28">
        <f t="shared" si="18"/>
        <v>279785.68000000005</v>
      </c>
      <c r="Y27" s="60">
        <f t="shared" si="18"/>
        <v>879227.5929856078</v>
      </c>
      <c r="Z27" s="60">
        <f t="shared" si="18"/>
        <v>106822.4168019705</v>
      </c>
      <c r="AA27" s="60">
        <f t="shared" si="18"/>
        <v>364967.6567424597</v>
      </c>
      <c r="AB27" s="60">
        <f t="shared" si="18"/>
        <v>176359.94572131344</v>
      </c>
      <c r="AC27" s="60">
        <f t="shared" si="18"/>
        <v>120734.58578294887</v>
      </c>
      <c r="AD27" s="60">
        <f t="shared" si="18"/>
        <v>98558.68932224094</v>
      </c>
      <c r="AE27" s="60">
        <f t="shared" si="18"/>
        <v>11784.298614674191</v>
      </c>
      <c r="AF27" s="28">
        <f>AM27/Y27</f>
        <v>20.75207411091643</v>
      </c>
      <c r="AG27" s="101">
        <f>AN27/Z27</f>
        <v>20.160531136384794</v>
      </c>
      <c r="AH27" s="101">
        <f>AO27/AA27</f>
        <v>21.59839471902152</v>
      </c>
      <c r="AI27" s="101">
        <f>AP27/AB27</f>
        <v>20.42129779111602</v>
      </c>
      <c r="AJ27" s="101">
        <f>AJ32</f>
        <v>20.91</v>
      </c>
      <c r="AK27" s="27">
        <f>AR27/AD27</f>
        <v>19.562218138841644</v>
      </c>
      <c r="AL27" s="101">
        <f>AL33</f>
        <v>19.49</v>
      </c>
      <c r="AM27" s="101">
        <f aca="true" t="shared" si="19" ref="AM27:AZ27">SUM(AM28:AM36)</f>
        <v>18245796.169999998</v>
      </c>
      <c r="AN27" s="119">
        <f t="shared" si="19"/>
        <v>2153596.66</v>
      </c>
      <c r="AO27" s="119">
        <f t="shared" si="19"/>
        <v>7882715.51</v>
      </c>
      <c r="AP27" s="119">
        <f t="shared" si="19"/>
        <v>3601498.9699999997</v>
      </c>
      <c r="AQ27" s="119">
        <f t="shared" si="19"/>
        <v>2450282.4699999997</v>
      </c>
      <c r="AR27" s="119">
        <f t="shared" si="19"/>
        <v>1928026.5799999998</v>
      </c>
      <c r="AS27" s="119">
        <f t="shared" si="19"/>
        <v>229675.98</v>
      </c>
      <c r="AT27" s="118">
        <f t="shared" si="19"/>
        <v>0</v>
      </c>
      <c r="AU27" s="28">
        <f t="shared" si="19"/>
        <v>0</v>
      </c>
      <c r="AV27" s="28">
        <f t="shared" si="19"/>
        <v>0</v>
      </c>
      <c r="AW27" s="28">
        <f t="shared" si="19"/>
        <v>0</v>
      </c>
      <c r="AX27" s="28">
        <f t="shared" si="19"/>
        <v>0</v>
      </c>
      <c r="AY27" s="28">
        <f t="shared" si="19"/>
        <v>0</v>
      </c>
      <c r="AZ27" s="28">
        <f t="shared" si="19"/>
        <v>0</v>
      </c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</row>
    <row r="28" spans="1:52" ht="51" customHeight="1">
      <c r="A28" s="74"/>
      <c r="B28" s="47" t="s">
        <v>20</v>
      </c>
      <c r="C28" s="32"/>
      <c r="D28" s="75">
        <f aca="true" t="shared" si="20" ref="D28:D36">SUM(E28:J28)</f>
        <v>1703.8298078770417</v>
      </c>
      <c r="E28" s="195">
        <f>Январь!E28+Февраль!E28+Март!E28+Апрель!E28+Май!E28+Июнь!E28+'Июль 1'!E28+Август!E28+Сентябрь!E28+Октябрь!E28+Ноябрь!E28+Декабрь!E28</f>
        <v>1703.8298078770417</v>
      </c>
      <c r="F28" s="76"/>
      <c r="G28" s="76"/>
      <c r="H28" s="76"/>
      <c r="I28" s="76"/>
      <c r="J28" s="76"/>
      <c r="K28" s="14">
        <f t="shared" si="16"/>
        <v>28.293993788069105</v>
      </c>
      <c r="L28" s="37">
        <v>20.82</v>
      </c>
      <c r="M28" s="36"/>
      <c r="N28" s="36"/>
      <c r="O28" s="37"/>
      <c r="P28" s="37"/>
      <c r="Q28" s="239"/>
      <c r="R28" s="228">
        <f aca="true" t="shared" si="21" ref="R28:R36">SUM(S28:X28)</f>
        <v>48208.149999999994</v>
      </c>
      <c r="S28" s="37">
        <f>Январь!S28+Февраль!S28+Март!S28+Апрель!S28+Май!S28+Июнь!S28+'Июль 1'!S28+Август!S28+Сентябрь!S28+Октябрь!S28+Ноябрь!S28+Декабрь!S28</f>
        <v>48208.149999999994</v>
      </c>
      <c r="T28" s="13"/>
      <c r="U28" s="13"/>
      <c r="V28" s="13"/>
      <c r="W28" s="13"/>
      <c r="X28" s="13"/>
      <c r="Y28" s="64">
        <f>SUM(Z28:AD28)</f>
        <v>1703.836577240563</v>
      </c>
      <c r="Z28" s="195">
        <f>Январь!Z28+Февраль!Z28+Март!Z28+Апрель!Z28+Май!Z28+Июнь!Z28+'Июль 1'!Z28+Август!Z28+Сентябрь!Z28+Октябрь!Z28+Ноябрь!Z28+Декабрь!Z28</f>
        <v>1703.836577240563</v>
      </c>
      <c r="AA28" s="197"/>
      <c r="AB28" s="197"/>
      <c r="AC28" s="197"/>
      <c r="AD28" s="197"/>
      <c r="AE28" s="197"/>
      <c r="AF28" s="14">
        <f>AG28</f>
        <v>20.82</v>
      </c>
      <c r="AG28" s="13">
        <v>20.82</v>
      </c>
      <c r="AH28" s="13"/>
      <c r="AI28" s="13"/>
      <c r="AJ28" s="13"/>
      <c r="AK28" s="13"/>
      <c r="AL28" s="13"/>
      <c r="AM28" s="14">
        <f>SUM(AN28:AR28)</f>
        <v>34432.04</v>
      </c>
      <c r="AN28" s="37">
        <f>Январь!AN28+Февраль!AN28+Март!AN28+Апрель!AN28+Май!AN28+Июнь!AN28+'Июль 1'!AN28+Август!AN28+Сентябрь!AN28+Октябрь!AN28+Ноябрь!AN28+Декабрь!AN28</f>
        <v>34432.04</v>
      </c>
      <c r="AO28" s="13"/>
      <c r="AP28" s="13"/>
      <c r="AQ28" s="13"/>
      <c r="AR28" s="13"/>
      <c r="AS28" s="13"/>
      <c r="AT28" s="14">
        <f>SUM(AU28:AY28)</f>
        <v>0</v>
      </c>
      <c r="AU28" s="37">
        <f>(L28-AG28)*E28</f>
        <v>0</v>
      </c>
      <c r="AV28" s="37"/>
      <c r="AW28" s="37"/>
      <c r="AX28" s="37"/>
      <c r="AY28" s="37"/>
      <c r="AZ28" s="13"/>
    </row>
    <row r="29" spans="1:52" ht="54" customHeight="1">
      <c r="A29" s="74"/>
      <c r="B29" s="47" t="s">
        <v>21</v>
      </c>
      <c r="C29" s="48"/>
      <c r="D29" s="75">
        <f t="shared" si="20"/>
        <v>4880.130212765957</v>
      </c>
      <c r="E29" s="76"/>
      <c r="F29" s="76"/>
      <c r="G29" s="195">
        <f>Январь!G29+Февраль!G29+Март!G29+Апрель!G29+Май!G29+Июнь!G29+'Июль 1'!G29+Август!G29+Сентябрь!G29+Октябрь!G29+Ноябрь!G29+Декабрь!G29</f>
        <v>4880.130212765957</v>
      </c>
      <c r="H29" s="76"/>
      <c r="I29" s="76"/>
      <c r="J29" s="76"/>
      <c r="K29" s="14">
        <f t="shared" si="16"/>
        <v>28.603314648213956</v>
      </c>
      <c r="L29" s="37"/>
      <c r="M29" s="13"/>
      <c r="N29" s="50">
        <v>23.5</v>
      </c>
      <c r="O29" s="37"/>
      <c r="P29" s="37"/>
      <c r="Q29" s="239"/>
      <c r="R29" s="228">
        <f t="shared" si="21"/>
        <v>139587.9</v>
      </c>
      <c r="S29" s="13"/>
      <c r="T29" s="13"/>
      <c r="U29" s="37">
        <f>Январь!U29+Февраль!U29+Март!U29+Апрель!U29+Май!U29+Июнь!U29+'Июль 1'!U29+Август!U29+Сентябрь!U29+Октябрь!U29+Ноябрь!U29+Декабрь!U29</f>
        <v>139587.9</v>
      </c>
      <c r="V29" s="13"/>
      <c r="W29" s="13"/>
      <c r="X29" s="13"/>
      <c r="Y29" s="67">
        <f>SUM(Z29:AD29)</f>
        <v>4879.899668505915</v>
      </c>
      <c r="Z29" s="197"/>
      <c r="AA29" s="197"/>
      <c r="AB29" s="195">
        <f>Январь!AB29+Февраль!AB29+Март!AB29+Апрель!AB29+Май!AB29+Июнь!AB29+'Июль 1'!AB29+Август!AB29+Сентябрь!AB29+Октябрь!AB29+Ноябрь!AB29+Декабрь!AB29</f>
        <v>4879.899668505915</v>
      </c>
      <c r="AC29" s="197"/>
      <c r="AD29" s="197"/>
      <c r="AE29" s="197"/>
      <c r="AF29" s="14">
        <f>AI29</f>
        <v>23.5</v>
      </c>
      <c r="AG29" s="13"/>
      <c r="AH29" s="13"/>
      <c r="AI29" s="13">
        <v>23.5</v>
      </c>
      <c r="AJ29" s="13"/>
      <c r="AK29" s="13"/>
      <c r="AL29" s="37"/>
      <c r="AM29" s="15">
        <f>SUM(AN29:AR29)</f>
        <v>105744.73</v>
      </c>
      <c r="AN29" s="13"/>
      <c r="AO29" s="13"/>
      <c r="AP29" s="37">
        <f>Январь!AP29+Февраль!AP29+Март!AP29+Апрель!AP29+Май!AP29+Июнь!AP29+'Июль 1'!AP29+Август!AP29+Сентябрь!AP29+Октябрь!AP29+Ноябрь!AP29+Декабрь!AP29</f>
        <v>105744.73</v>
      </c>
      <c r="AQ29" s="13"/>
      <c r="AR29" s="13"/>
      <c r="AS29" s="13"/>
      <c r="AT29" s="14">
        <f>SUM(AU29:AY29)</f>
        <v>0</v>
      </c>
      <c r="AU29" s="37"/>
      <c r="AV29" s="37"/>
      <c r="AW29" s="37">
        <f>(N29-AI29)*G29</f>
        <v>0</v>
      </c>
      <c r="AX29" s="37"/>
      <c r="AY29" s="37"/>
      <c r="AZ29" s="13"/>
    </row>
    <row r="30" spans="1:52" ht="59.25" customHeight="1">
      <c r="A30" s="38"/>
      <c r="B30" s="54" t="s">
        <v>39</v>
      </c>
      <c r="C30" s="40"/>
      <c r="D30" s="75">
        <f t="shared" si="20"/>
        <v>96738.51991813659</v>
      </c>
      <c r="E30" s="76"/>
      <c r="F30" s="195">
        <f>Январь!F30+Февраль!F30+Март!F30+Апрель!F30+Май!F30+Июнь!F30+'Июль 1'!F30+Август!F30+Сентябрь!F30+Октябрь!F30+Ноябрь!F30+Декабрь!F30</f>
        <v>96738.51991813659</v>
      </c>
      <c r="G30" s="76"/>
      <c r="H30" s="76"/>
      <c r="I30" s="76"/>
      <c r="J30" s="76"/>
      <c r="K30" s="14">
        <f t="shared" si="16"/>
        <v>22.752609114369402</v>
      </c>
      <c r="L30" s="13"/>
      <c r="M30" s="37">
        <v>23.4</v>
      </c>
      <c r="N30" s="13"/>
      <c r="O30" s="37"/>
      <c r="P30" s="37"/>
      <c r="Q30" s="239"/>
      <c r="R30" s="228">
        <f t="shared" si="21"/>
        <v>2201053.7300000004</v>
      </c>
      <c r="S30" s="13"/>
      <c r="T30" s="37">
        <f>Январь!T30+Февраль!T30+Март!T30+Апрель!T30+Май!T30+Июнь!T30+'Июль 1'!T30+Август!T30+Сентябрь!T30+Октябрь!T30+Ноябрь!T30+Декабрь!T30</f>
        <v>2201053.7300000004</v>
      </c>
      <c r="U30" s="13"/>
      <c r="V30" s="13"/>
      <c r="W30" s="13"/>
      <c r="X30" s="13"/>
      <c r="Y30" s="67">
        <f>SUM(Z30:AD30)</f>
        <v>96749.28289120171</v>
      </c>
      <c r="Z30" s="197"/>
      <c r="AA30" s="195">
        <f>Январь!AA30+Февраль!AA30+Март!AA30+Апрель!AA30+Май!AA30+Июнь!AA30+'Июль 1'!AA30+Август!AA30+Сентябрь!AA30+Октябрь!AA30+Ноябрь!AA30+Декабрь!AA30</f>
        <v>96749.28289120171</v>
      </c>
      <c r="AB30" s="197"/>
      <c r="AC30" s="197"/>
      <c r="AD30" s="197"/>
      <c r="AE30" s="197"/>
      <c r="AF30" s="14">
        <f>AH30</f>
        <v>23.4</v>
      </c>
      <c r="AG30" s="37"/>
      <c r="AH30" s="37">
        <v>23.4</v>
      </c>
      <c r="AI30" s="37"/>
      <c r="AJ30" s="37"/>
      <c r="AK30" s="37"/>
      <c r="AL30" s="37"/>
      <c r="AM30" s="15">
        <f>SUM(AN30:AR30)</f>
        <v>2082233.6500000001</v>
      </c>
      <c r="AN30" s="13"/>
      <c r="AO30" s="37">
        <f>Январь!AO30+Февраль!AO30+Март!AO30+Апрель!AO30+Май!AO30+Июнь!AO30+'Июль 1'!AO30+Август!AO30+Сентябрь!AO30+Октябрь!AO30+Ноябрь!AO30+Декабрь!AO30</f>
        <v>2082233.6500000001</v>
      </c>
      <c r="AP30" s="13"/>
      <c r="AQ30" s="13"/>
      <c r="AR30" s="13"/>
      <c r="AS30" s="13"/>
      <c r="AT30" s="15">
        <f>SUM(AU30:AY30)</f>
        <v>0</v>
      </c>
      <c r="AU30" s="37"/>
      <c r="AV30" s="37">
        <f>(M30-AH30)*F30</f>
        <v>0</v>
      </c>
      <c r="AW30" s="37"/>
      <c r="AX30" s="37"/>
      <c r="AY30" s="37"/>
      <c r="AZ30" s="13"/>
    </row>
    <row r="31" spans="1:52" ht="35.25" customHeight="1">
      <c r="A31" s="38"/>
      <c r="B31" s="39" t="s">
        <v>22</v>
      </c>
      <c r="C31" s="40"/>
      <c r="D31" s="75">
        <f t="shared" si="20"/>
        <v>1438.8000000000002</v>
      </c>
      <c r="E31" s="76"/>
      <c r="F31" s="76"/>
      <c r="G31" s="195">
        <f>Январь!G31+Февраль!G31+Март!G31+Апрель!G31+Май!G31+Июнь!G31+'Июль 1'!G31+Август!G31+Сентябрь!G31+Октябрь!G31+Ноябрь!G31+Декабрь!G31</f>
        <v>1438.8000000000002</v>
      </c>
      <c r="H31" s="76"/>
      <c r="I31" s="76"/>
      <c r="J31" s="76"/>
      <c r="K31" s="14">
        <f t="shared" si="16"/>
        <v>28.41442869057548</v>
      </c>
      <c r="L31" s="13"/>
      <c r="M31" s="122"/>
      <c r="N31" s="13">
        <v>28.96</v>
      </c>
      <c r="O31" s="13"/>
      <c r="P31" s="13"/>
      <c r="Q31" s="235"/>
      <c r="R31" s="228">
        <f t="shared" si="21"/>
        <v>40882.68000000001</v>
      </c>
      <c r="S31" s="13"/>
      <c r="T31" s="13"/>
      <c r="U31" s="37">
        <f>Январь!U31+Февраль!U31+Март!U31+Апрель!U31+Май!U31+Июнь!U31+'Июль 1'!U31+Август!U31+Сентябрь!U31+Октябрь!U31+Ноябрь!U31+Декабрь!U31</f>
        <v>40882.68000000001</v>
      </c>
      <c r="V31" s="13"/>
      <c r="W31" s="13"/>
      <c r="X31" s="13"/>
      <c r="Y31" s="64">
        <f>SUM(Z31:AD31)</f>
        <v>1322.108622631306</v>
      </c>
      <c r="Z31" s="197"/>
      <c r="AA31" s="197"/>
      <c r="AB31" s="195">
        <f>Январь!AB31+Февраль!AB31+Март!AB31+Апрель!AB31+Май!AB31+Июнь!AB31+'Июль 1'!AB31+Август!AB31+Сентябрь!AB31+Октябрь!AB31+Ноябрь!AB31+Декабрь!AB31</f>
        <v>1322.108622631306</v>
      </c>
      <c r="AC31" s="197"/>
      <c r="AD31" s="197"/>
      <c r="AE31" s="197"/>
      <c r="AF31" s="14">
        <f>AI31</f>
        <v>28.96</v>
      </c>
      <c r="AG31" s="13"/>
      <c r="AH31" s="13"/>
      <c r="AI31" s="13">
        <v>28.96</v>
      </c>
      <c r="AJ31" s="13"/>
      <c r="AK31" s="13"/>
      <c r="AL31" s="13"/>
      <c r="AM31" s="14">
        <f>SUM(AN31:AR31)</f>
        <v>31990.280000000002</v>
      </c>
      <c r="AN31" s="13"/>
      <c r="AO31" s="13"/>
      <c r="AP31" s="37">
        <f>Январь!AP31+Февраль!AP31+Март!AP31+Апрель!AP31+Май!AP31+Июнь!AP31+'Июль 1'!AP31+Август!AP31+Сентябрь!AP31+Октябрь!AP31+Ноябрь!AP31+Декабрь!AP31</f>
        <v>31990.280000000002</v>
      </c>
      <c r="AQ31" s="13"/>
      <c r="AR31" s="13"/>
      <c r="AS31" s="13"/>
      <c r="AT31" s="15">
        <f>SUM(AU31:AY31)</f>
        <v>0</v>
      </c>
      <c r="AU31" s="37"/>
      <c r="AV31" s="37"/>
      <c r="AW31" s="37">
        <f>(N31-AI31)*G31</f>
        <v>0</v>
      </c>
      <c r="AX31" s="37"/>
      <c r="AY31" s="37"/>
      <c r="AZ31" s="13"/>
    </row>
    <row r="32" spans="1:52" ht="42" customHeight="1">
      <c r="A32" s="9"/>
      <c r="B32" s="43" t="s">
        <v>25</v>
      </c>
      <c r="C32" s="32"/>
      <c r="D32" s="75">
        <f t="shared" si="20"/>
        <v>505199.85</v>
      </c>
      <c r="E32" s="195">
        <f>Январь!E32+Февраль!E32+Март!E32+Апрель!E32+Май!E32+Июнь!E32+'Июль 1'!E32+Август!E32+Сентябрь!E32+Октябрь!E32+Ноябрь!E32+Декабрь!E32</f>
        <v>49376.46</v>
      </c>
      <c r="F32" s="195">
        <f>Январь!F32+Февраль!F32+Март!F32+Апрель!F32+Май!F32+Июнь!F32+'Июль 1'!F32+Август!F32+Сентябрь!F32+Октябрь!F32+Ноябрь!F32+Декабрь!F32</f>
        <v>77368.01999999999</v>
      </c>
      <c r="G32" s="195">
        <f>Январь!G32+Февраль!G32+Март!G32+Апрель!G32+Май!G32+Июнь!G32+'Июль 1'!G32+Август!G32+Сентябрь!G32+Октябрь!G32+Ноябрь!G32+Декабрь!G32</f>
        <v>169813.14</v>
      </c>
      <c r="H32" s="195">
        <f>Январь!H32+Февраль!H32+Март!H32+Апрель!H32+Май!H32+Июнь!H32+'Июль 1'!H32+Август!H32+Сентябрь!H32+Октябрь!H32+Ноябрь!H32+Декабрь!H32</f>
        <v>118957.48999999999</v>
      </c>
      <c r="I32" s="195">
        <f>Январь!I32+Февраль!I32+Март!I32+Апрель!I32+Май!I32+Июнь!I32+'Июль 1'!I32+Август!I32+Сентябрь!I32+Октябрь!I32+Ноябрь!I32+Декабрь!I32</f>
        <v>89684.74000000002</v>
      </c>
      <c r="J32" s="65"/>
      <c r="K32" s="120">
        <f t="shared" si="16"/>
        <v>20.28887882686426</v>
      </c>
      <c r="L32" s="36">
        <v>20.67</v>
      </c>
      <c r="M32" s="36">
        <v>20.91</v>
      </c>
      <c r="N32" s="36">
        <v>20.91</v>
      </c>
      <c r="O32" s="36">
        <v>20.91</v>
      </c>
      <c r="P32" s="36">
        <v>19.49</v>
      </c>
      <c r="Q32" s="240"/>
      <c r="R32" s="228">
        <f t="shared" si="21"/>
        <v>10249938.54</v>
      </c>
      <c r="S32" s="37">
        <f>Январь!S32+Февраль!S32+Март!S32+Апрель!S32+Май!S32+Июнь!S32+'Июль 1'!S32+Август!S32+Сентябрь!S32+Октябрь!S32+Ноябрь!S32+Декабрь!S32</f>
        <v>1002740.5900000001</v>
      </c>
      <c r="T32" s="37">
        <f>Январь!T32+Февраль!T32+Март!T32+Апрель!T32+Май!T32+Июнь!T32+'Июль 1'!T32+Август!T32+Сентябрь!T32+Октябрь!T32+Ноябрь!T32+Декабрь!T32</f>
        <v>1580748.18</v>
      </c>
      <c r="U32" s="37">
        <f>Январь!U32+Февраль!U32+Март!U32+Апрель!U32+Май!U32+Июнь!U32+'Июль 1'!U32+Август!U32+Сентябрь!U32+Октябрь!U32+Ноябрь!U32+Декабрь!U32</f>
        <v>3468224.23</v>
      </c>
      <c r="V32" s="37">
        <f>Январь!V32+Февраль!V32+Март!V32+Апрель!V32+Май!V32+Июнь!V32+'Июль 1'!V32+Август!V32+Сентябрь!V32+Октябрь!V32+Ноябрь!V32+Декабрь!V32</f>
        <v>2429798.6499999994</v>
      </c>
      <c r="W32" s="37">
        <f>Январь!W32+Февраль!W32+Март!W32+Апрель!W32+Май!W32+Июнь!W32+'Июль 1'!W32+Август!W32+Сентябрь!W32+Октябрь!W32+Ноябрь!W32+Декабрь!W32</f>
        <v>1768426.89</v>
      </c>
      <c r="X32" s="12"/>
      <c r="Y32" s="67">
        <f>SUM(Z32:AD32)</f>
        <v>503872.0986714686</v>
      </c>
      <c r="Z32" s="195">
        <f>Январь!Z32+Февраль!Z32+Март!Z32+Апрель!Z32+Май!Z32+Июнь!Z32+'Июль 1'!Z32+Август!Z32+Сентябрь!Z32+Октябрь!Z32+Ноябрь!Z32+Декабрь!Z32</f>
        <v>49017.548236075214</v>
      </c>
      <c r="AA32" s="195">
        <f>Январь!AA32+Февраль!AA32+Март!AA32+Апрель!AA32+Май!AA32+Июнь!AA32+'Июль 1'!AA32+Август!AA32+Сентябрь!AA32+Октябрь!AA32+Ноябрь!AA32+Декабрь!AA32</f>
        <v>77362.4156570352</v>
      </c>
      <c r="AB32" s="195">
        <f>Январь!AB32+Февраль!AB32+Март!AB32+Апрель!AB32+Май!AB32+Июнь!AB32+'Июль 1'!AB32+Август!AB32+Сентябрь!AB32+Октябрь!AB32+Ноябрь!AB32+Декабрь!AB32</f>
        <v>170157.9374301762</v>
      </c>
      <c r="AC32" s="195">
        <f>Январь!AC32+Февраль!AC32+Март!AC32+Апрель!AC32+Май!AC32+Июнь!AC32+'Июль 1'!AC32+Август!AC32+Сентябрь!AC32+Октябрь!AC32+Ноябрь!AC32+Декабрь!AC32</f>
        <v>118919.17939025481</v>
      </c>
      <c r="AD32" s="195">
        <f>Январь!AD32+Февраль!AD32+Март!AD32+Апрель!AD32+Май!AD32+Июнь!AD32+'Июль 1'!AD32+Август!AD32+Сентябрь!AD32+Октябрь!AD32+Ноябрь!AD32+Декабрь!AD32</f>
        <v>88415.01795792714</v>
      </c>
      <c r="AE32" s="140"/>
      <c r="AF32" s="121">
        <f>AM32/Y32</f>
        <v>20.161658259676205</v>
      </c>
      <c r="AG32" s="37">
        <v>20.67</v>
      </c>
      <c r="AH32" s="37">
        <v>20.91</v>
      </c>
      <c r="AI32" s="37">
        <f>AH32</f>
        <v>20.91</v>
      </c>
      <c r="AJ32" s="37">
        <f>AH32</f>
        <v>20.91</v>
      </c>
      <c r="AK32" s="37">
        <v>19.49</v>
      </c>
      <c r="AL32" s="37"/>
      <c r="AM32" s="15">
        <f>SUM(AN32:AS32)</f>
        <v>10158897.059999999</v>
      </c>
      <c r="AN32" s="37">
        <f>Январь!AN32+Февраль!AN32+Март!AN32+Апрель!AN32+Май!AN32+Июнь!AN32+'Июль 1'!AN32+Август!AN32+Сентябрь!AN32+Октябрь!AN32+Ноябрь!AN32+Декабрь!AN32</f>
        <v>988145.45</v>
      </c>
      <c r="AO32" s="37">
        <f>Январь!AO32+Февраль!AO32+Март!AO32+Апрель!AO32+Май!AO32+Июнь!AO32+'Июль 1'!AO32+Август!AO32+Сентябрь!AO32+Октябрь!AO32+Ноябрь!AO32+Декабрь!AO32</f>
        <v>1569278.14</v>
      </c>
      <c r="AP32" s="37">
        <f>Январь!AP32+Февраль!AP32+Март!AP32+Апрель!AP32+Май!AP32+Июнь!AP32+'Июль 1'!AP32+Август!AP32+Сентябрь!AP32+Октябрь!AP32+Ноябрь!AP32+Декабрь!AP32</f>
        <v>3463763.96</v>
      </c>
      <c r="AQ32" s="37">
        <f>Январь!AQ32+Февраль!AQ32+Март!AQ32+Апрель!AQ32+Май!AQ32+Июнь!AQ32+'Июль 1'!AQ32+Август!AQ32+Сентябрь!AQ32+Октябрь!AQ32+Ноябрь!AQ32+Декабрь!AQ32</f>
        <v>2414500.8099999996</v>
      </c>
      <c r="AR32" s="37">
        <f>Январь!AR32+Февраль!AR32+Март!AR32+Апрель!AR32+Май!AR32+Июнь!AR32+'Июль 1'!AR32+Август!AR32+Сентябрь!AR32+Октябрь!AR32+Ноябрь!AR32+Декабрь!AR32</f>
        <v>1723208.7</v>
      </c>
      <c r="AS32" s="12"/>
      <c r="AT32" s="15">
        <f>SUM(AU32:AY32)</f>
        <v>0</v>
      </c>
      <c r="AU32" s="37">
        <f>(L32-AG32)*E32</f>
        <v>0</v>
      </c>
      <c r="AV32" s="37">
        <f>(M32-AH32)*F32</f>
        <v>0</v>
      </c>
      <c r="AW32" s="37">
        <f>(N32-AI32)*G32</f>
        <v>0</v>
      </c>
      <c r="AX32" s="37">
        <f>(O32-AJ32)*H32</f>
        <v>0</v>
      </c>
      <c r="AY32" s="37">
        <f>(P32-AK32)*I32</f>
        <v>0</v>
      </c>
      <c r="AZ32" s="37"/>
    </row>
    <row r="33" spans="1:52" ht="84" customHeight="1">
      <c r="A33" s="74"/>
      <c r="B33" s="31" t="s">
        <v>27</v>
      </c>
      <c r="C33" s="40"/>
      <c r="D33" s="75">
        <f t="shared" si="20"/>
        <v>249674.82000000004</v>
      </c>
      <c r="E33" s="195">
        <f>Январь!E33+Февраль!E33+Март!E33+Апрель!E33+Май!E33+Июнь!E33+'Июль 1'!E33+Август!E33+Сентябрь!E33+Октябрь!E33+Ноябрь!E33+Декабрь!E33</f>
        <v>56354.1</v>
      </c>
      <c r="F33" s="195">
        <f>Январь!F33+Февраль!F33+Март!F33+Апрель!F33+Май!F33+Июнь!F33+'Июль 1'!F33+Август!F33+Сентябрь!F33+Октябрь!F33+Ноябрь!F33+Декабрь!F33</f>
        <v>181527.52000000002</v>
      </c>
      <c r="G33" s="76"/>
      <c r="H33" s="76"/>
      <c r="I33" s="76"/>
      <c r="J33" s="37">
        <f>Январь!J33+Февраль!J33+Март!J33+Апрель!J33+Май!J33+Июнь!J33+'Июль 1'!J33+Август!J33+Сентябрь!J33+Октябрь!J33+Ноябрь!J33+Декабрь!J33</f>
        <v>11793.199999999999</v>
      </c>
      <c r="K33" s="14">
        <f t="shared" si="16"/>
        <v>26.238698119417887</v>
      </c>
      <c r="L33" s="13">
        <v>20.67</v>
      </c>
      <c r="M33" s="13">
        <v>25</v>
      </c>
      <c r="N33" s="13"/>
      <c r="O33" s="13"/>
      <c r="P33" s="13"/>
      <c r="Q33" s="235">
        <v>19.49</v>
      </c>
      <c r="R33" s="228">
        <f t="shared" si="21"/>
        <v>6551142.23</v>
      </c>
      <c r="S33" s="37">
        <f>Январь!S33+Февраль!S33+Март!S33+Апрель!S33+Май!S33+Июнь!S33+'Июль 1'!S33+Август!S33+Сентябрь!S33+Октябрь!S33+Ноябрь!S33+Декабрь!S33</f>
        <v>1390747.28</v>
      </c>
      <c r="T33" s="37">
        <f>Январь!T33+Февраль!T33+Март!T33+Апрель!T33+Май!T33+Июнь!T33+'Июль 1'!T33+Август!T33+Сентябрь!T33+Октябрь!T33+Ноябрь!T33+Декабрь!T33</f>
        <v>4880609.2700000005</v>
      </c>
      <c r="U33" s="13"/>
      <c r="V33" s="13"/>
      <c r="W33" s="13"/>
      <c r="X33" s="37">
        <f>Январь!X33+Февраль!X33+Март!X33+Апрель!X33+Май!X33+Июнь!X33+'Июль 1'!X33+Август!X33+Сентябрь!X33+Октябрь!X33+Ноябрь!X33+Декабрь!X33</f>
        <v>279785.68000000005</v>
      </c>
      <c r="Y33" s="64">
        <f>SUM(Z33:AE33)</f>
        <v>250520.61749203695</v>
      </c>
      <c r="Z33" s="195">
        <f>Январь!Z33+Февраль!Z33+Март!Z33+Апрель!Z33+Май!Z33+Июнь!Z33+'Июль 1'!Z33+Август!Z33+Сентябрь!Z33+Октябрь!Z33+Ноябрь!Z33+Декабрь!Z33</f>
        <v>56101.03198865472</v>
      </c>
      <c r="AA33" s="195">
        <f>Январь!AA33+Февраль!AA33+Март!AA33+Апрель!AA33+Май!AA33+Июнь!AA33+'Июль 1'!AA33+Август!AA33+Сентябрь!AA33+Октябрь!AA33+Ноябрь!AA33+Декабрь!AA33</f>
        <v>182635.28688870804</v>
      </c>
      <c r="AB33" s="197"/>
      <c r="AC33" s="197"/>
      <c r="AD33" s="197"/>
      <c r="AE33" s="195">
        <f>Январь!AE33+Февраль!AE33+Март!AE33+Апрель!AE33+Май!AE33+Июнь!AE33+'Июль 1'!AE33+Август!AE33+Сентябрь!AE33+Октябрь!AE33+Ноябрь!AE33+Декабрь!AE33</f>
        <v>11784.298614674191</v>
      </c>
      <c r="AF33" s="14">
        <f>AM33/Y33</f>
        <v>21.64570355241267</v>
      </c>
      <c r="AG33" s="13">
        <v>20.67</v>
      </c>
      <c r="AH33" s="13">
        <v>25</v>
      </c>
      <c r="AI33" s="13"/>
      <c r="AJ33" s="13"/>
      <c r="AK33" s="13"/>
      <c r="AL33" s="37">
        <v>19.49</v>
      </c>
      <c r="AM33" s="15">
        <f>SUM(AN33:AS33)</f>
        <v>5422695.02</v>
      </c>
      <c r="AN33" s="37">
        <f>Январь!AN33+Февраль!AN33+Март!AN33+Апрель!AN33+Май!AN33+Июнь!AN33+'Июль 1'!AN33+Август!AN33+Сентябрь!AN33+Октябрь!AN33+Ноябрь!AN33+Декабрь!AN33</f>
        <v>1131019.17</v>
      </c>
      <c r="AO33" s="37">
        <f>Январь!AO33+Февраль!AO33+Март!AO33+Апрель!AO33+Май!AO33+Июнь!AO33+'Июль 1'!AO33+Август!AO33+Сентябрь!AO33+Октябрь!AO33+Ноябрь!AO33+Декабрь!AO33</f>
        <v>4061999.8699999996</v>
      </c>
      <c r="AP33" s="13"/>
      <c r="AQ33" s="13"/>
      <c r="AR33" s="13"/>
      <c r="AS33" s="37">
        <f>Январь!AS33+Февраль!AS33+Март!AS33+Апрель!AS33+Май!AS33+Июнь!AS33+'Июль 1'!AS33+Август!AS33+Сентябрь!AS33+Октябрь!AS33+Ноябрь!AS33+Декабрь!AS33</f>
        <v>229675.98</v>
      </c>
      <c r="AT33" s="14">
        <f>SUM(AU33:AZ33)</f>
        <v>0</v>
      </c>
      <c r="AU33" s="37">
        <f>(L33-AG33)*E33</f>
        <v>0</v>
      </c>
      <c r="AV33" s="37">
        <f>(M33-AH33)*F33</f>
        <v>0</v>
      </c>
      <c r="AW33" s="37"/>
      <c r="AX33" s="37"/>
      <c r="AY33" s="37"/>
      <c r="AZ33" s="37">
        <f>(Q33-AL33)*J33</f>
        <v>0</v>
      </c>
    </row>
    <row r="34" spans="1:52" ht="39.75" customHeight="1">
      <c r="A34" s="38"/>
      <c r="B34" s="39" t="s">
        <v>23</v>
      </c>
      <c r="C34" s="40"/>
      <c r="D34" s="75">
        <f t="shared" si="20"/>
        <v>8220.634</v>
      </c>
      <c r="E34" s="76"/>
      <c r="F34" s="195">
        <f>Январь!F34+Февраль!F34+Март!F34+Апрель!F34+Май!F34+Июнь!F34+'Июль 1'!F34+Август!F34+Сентябрь!F34+Октябрь!F34+Ноябрь!F34+Декабрь!F34</f>
        <v>8220.634</v>
      </c>
      <c r="G34" s="76"/>
      <c r="H34" s="76"/>
      <c r="I34" s="76"/>
      <c r="J34" s="76"/>
      <c r="K34" s="14">
        <f t="shared" si="16"/>
        <v>21.315821869700073</v>
      </c>
      <c r="L34" s="13"/>
      <c r="M34" s="13">
        <v>21.56</v>
      </c>
      <c r="N34" s="13"/>
      <c r="O34" s="37"/>
      <c r="P34" s="37"/>
      <c r="Q34" s="239"/>
      <c r="R34" s="228">
        <f t="shared" si="21"/>
        <v>175229.57</v>
      </c>
      <c r="S34" s="13"/>
      <c r="T34" s="37">
        <f>Январь!T34+Февраль!T34+Март!T34+Апрель!T34+Май!T34+Июнь!T34+'Июль 1'!T34+Август!T34+Сентябрь!T34+Октябрь!T34+Ноябрь!T34+Декабрь!T34</f>
        <v>175229.57</v>
      </c>
      <c r="U34" s="13"/>
      <c r="V34" s="13"/>
      <c r="W34" s="13"/>
      <c r="X34" s="13"/>
      <c r="Y34" s="67">
        <f>SUM(Z34:AD34)</f>
        <v>8220.671305514716</v>
      </c>
      <c r="Z34" s="197"/>
      <c r="AA34" s="195">
        <f>Январь!AA34+Февраль!AA34+Март!AA34+Апрель!AA34+Май!AA34+Июнь!AA34+'Июль 1'!AA34+Август!AA34+Сентябрь!AA34+Октябрь!AA34+Ноябрь!AA34+Декабрь!AA34</f>
        <v>8220.671305514716</v>
      </c>
      <c r="AB34" s="197"/>
      <c r="AC34" s="197"/>
      <c r="AD34" s="197"/>
      <c r="AE34" s="197"/>
      <c r="AF34" s="14">
        <f>AH34</f>
        <v>21.56</v>
      </c>
      <c r="AG34" s="37"/>
      <c r="AH34" s="37">
        <v>21.56</v>
      </c>
      <c r="AI34" s="37"/>
      <c r="AJ34" s="37"/>
      <c r="AK34" s="37"/>
      <c r="AL34" s="37"/>
      <c r="AM34" s="15">
        <f>SUM(AN34:AR34)</f>
        <v>169203.84999999998</v>
      </c>
      <c r="AN34" s="13"/>
      <c r="AO34" s="37">
        <f>Январь!AO34+Февраль!AO34+Март!AO34+Апрель!AO34+Май!AO34+Июнь!AO34+'Июль 1'!AO34+Август!AO34+Сентябрь!AO34+Октябрь!AO34+Ноябрь!AO34+Декабрь!AO34</f>
        <v>169203.84999999998</v>
      </c>
      <c r="AP34" s="13"/>
      <c r="AQ34" s="13"/>
      <c r="AR34" s="13"/>
      <c r="AS34" s="13"/>
      <c r="AT34" s="14">
        <f>SUM(AU34:AZ34)</f>
        <v>0</v>
      </c>
      <c r="AU34" s="37"/>
      <c r="AV34" s="37">
        <f>(M34-AH34)*F34</f>
        <v>0</v>
      </c>
      <c r="AW34" s="37"/>
      <c r="AX34" s="37"/>
      <c r="AY34" s="37"/>
      <c r="AZ34" s="13"/>
    </row>
    <row r="35" spans="1:52" ht="39.75" customHeight="1" hidden="1">
      <c r="A35" s="38"/>
      <c r="B35" s="39" t="s">
        <v>44</v>
      </c>
      <c r="C35" s="40"/>
      <c r="D35" s="75">
        <f t="shared" si="20"/>
        <v>0</v>
      </c>
      <c r="E35" s="76"/>
      <c r="F35" s="76"/>
      <c r="G35" s="76"/>
      <c r="H35" s="195"/>
      <c r="I35" s="76"/>
      <c r="J35" s="76"/>
      <c r="K35" s="14"/>
      <c r="L35" s="13"/>
      <c r="M35" s="37"/>
      <c r="N35" s="13"/>
      <c r="O35" s="37"/>
      <c r="P35" s="37"/>
      <c r="Q35" s="239"/>
      <c r="R35" s="228">
        <f t="shared" si="21"/>
        <v>0</v>
      </c>
      <c r="S35" s="13"/>
      <c r="T35" s="13"/>
      <c r="U35" s="13"/>
      <c r="V35" s="37"/>
      <c r="W35" s="13"/>
      <c r="X35" s="13"/>
      <c r="Y35" s="67">
        <f>SUM(Z35:AD35)</f>
        <v>1815.406392694064</v>
      </c>
      <c r="Z35" s="197"/>
      <c r="AA35" s="197"/>
      <c r="AB35" s="197"/>
      <c r="AC35" s="195">
        <f>Январь!AC35+Февраль!AC35+Март!AC35+Апрель!AC35+Май!AC35+Июнь!AC35+'Июль 1'!AC35+Август!AC35+Сентябрь!AC35+Октябрь!AC35+Ноябрь!AC35+Декабрь!AC35</f>
        <v>1815.406392694064</v>
      </c>
      <c r="AD35" s="197"/>
      <c r="AE35" s="197"/>
      <c r="AF35" s="14">
        <f>AJ35</f>
        <v>19.71</v>
      </c>
      <c r="AG35" s="37"/>
      <c r="AH35" s="37"/>
      <c r="AI35" s="37"/>
      <c r="AJ35" s="139">
        <v>19.71</v>
      </c>
      <c r="AK35" s="37"/>
      <c r="AL35" s="37"/>
      <c r="AM35" s="15">
        <f>SUM(AN35:AR35)</f>
        <v>35781.66</v>
      </c>
      <c r="AN35" s="13"/>
      <c r="AO35" s="13"/>
      <c r="AP35" s="13"/>
      <c r="AQ35" s="37">
        <f>Январь!AQ35+Февраль!AQ35+Март!AQ35+Апрель!AQ35+Май!AQ35+Июнь!AQ35+'Июль 1'!AQ35+Август!AQ35+Сентябрь!AQ35+Октябрь!AQ35+Ноябрь!AQ35+Декабрь!AQ35</f>
        <v>35781.66</v>
      </c>
      <c r="AR35" s="13"/>
      <c r="AS35" s="13"/>
      <c r="AT35" s="14">
        <f>SUM(AU35:AZ35)</f>
        <v>0</v>
      </c>
      <c r="AU35" s="37"/>
      <c r="AV35" s="37"/>
      <c r="AW35" s="37"/>
      <c r="AX35" s="37"/>
      <c r="AY35" s="37"/>
      <c r="AZ35" s="13"/>
    </row>
    <row r="36" spans="1:52" ht="43.5" customHeight="1" thickBot="1">
      <c r="A36" s="78"/>
      <c r="B36" s="79" t="s">
        <v>26</v>
      </c>
      <c r="C36" s="80"/>
      <c r="D36" s="75">
        <f t="shared" si="20"/>
        <v>10143.671666666665</v>
      </c>
      <c r="E36" s="81"/>
      <c r="F36" s="81"/>
      <c r="G36" s="81"/>
      <c r="H36" s="81"/>
      <c r="I36" s="195">
        <f>Январь!I36+Февраль!I36+Март!I36+Апрель!I36+Май!I36+Июнь!I36+'Июль 1'!I36+Август!I36+Сентябрь!I36+Октябрь!I36+Ноябрь!I36+Декабрь!I36</f>
        <v>10143.671666666665</v>
      </c>
      <c r="J36" s="96"/>
      <c r="K36" s="82">
        <f t="shared" si="16"/>
        <v>24.09095424520017</v>
      </c>
      <c r="L36" s="83"/>
      <c r="M36" s="83"/>
      <c r="N36" s="83"/>
      <c r="O36" s="83"/>
      <c r="P36" s="84">
        <v>21</v>
      </c>
      <c r="Q36" s="243"/>
      <c r="R36" s="228">
        <f t="shared" si="21"/>
        <v>244370.72999999998</v>
      </c>
      <c r="S36" s="83"/>
      <c r="T36" s="83"/>
      <c r="U36" s="83"/>
      <c r="V36" s="83"/>
      <c r="W36" s="37">
        <f>Январь!W36+Февраль!W36+Март!W36+Апрель!W36+Май!W36+Июнь!W36+'Июль 1'!W36+Август!W36+Сентябрь!W36+Октябрь!W36+Ноябрь!W36+Декабрь!W36</f>
        <v>244370.72999999998</v>
      </c>
      <c r="X36" s="199"/>
      <c r="Y36" s="87">
        <f>SUM(Z36:AD36)</f>
        <v>10143.67136431381</v>
      </c>
      <c r="Z36" s="200"/>
      <c r="AA36" s="200"/>
      <c r="AB36" s="200"/>
      <c r="AC36" s="200"/>
      <c r="AD36" s="195">
        <f>Январь!AD36+Февраль!AD36+Март!AD36+Апрель!AD36+Май!AD36+Июнь!AD36+'Июль 1'!AD36+Август!AD36+Сентябрь!AD36+Октябрь!AD36+Ноябрь!AD36+Декабрь!AD36</f>
        <v>10143.67136431381</v>
      </c>
      <c r="AE36" s="201"/>
      <c r="AF36" s="85">
        <f>AK36</f>
        <v>21</v>
      </c>
      <c r="AG36" s="84"/>
      <c r="AH36" s="84"/>
      <c r="AI36" s="84"/>
      <c r="AJ36" s="84"/>
      <c r="AK36" s="84">
        <v>21</v>
      </c>
      <c r="AL36" s="84"/>
      <c r="AM36" s="86">
        <f>SUM(AN36:AR36)</f>
        <v>204817.87999999998</v>
      </c>
      <c r="AN36" s="83"/>
      <c r="AO36" s="83"/>
      <c r="AP36" s="83"/>
      <c r="AQ36" s="83"/>
      <c r="AR36" s="37">
        <f>Январь!AR36+Февраль!AR36+Март!AR36+Апрель!AR36+Май!AR36+Июнь!AR36+'Июль 1'!AR36+Август!AR36+Сентябрь!AR36+Октябрь!AR36+Ноябрь!AR36+Декабрь!AR36</f>
        <v>204817.87999999998</v>
      </c>
      <c r="AS36" s="199"/>
      <c r="AT36" s="14">
        <f>SUM(AU36:AZ36)</f>
        <v>0</v>
      </c>
      <c r="AU36" s="36"/>
      <c r="AV36" s="36"/>
      <c r="AW36" s="36"/>
      <c r="AX36" s="36"/>
      <c r="AY36" s="37">
        <f>(P36-AK36)*I36</f>
        <v>0</v>
      </c>
      <c r="AZ36" s="50"/>
    </row>
    <row r="37" spans="1:65" s="29" customFormat="1" ht="54.75" customHeight="1" thickBot="1">
      <c r="A37" s="23">
        <v>4</v>
      </c>
      <c r="B37" s="24" t="s">
        <v>3</v>
      </c>
      <c r="C37" s="24" t="s">
        <v>5</v>
      </c>
      <c r="D37" s="27">
        <f aca="true" t="shared" si="22" ref="D37:J37">SUM(D38:D46)</f>
        <v>1090743.3355947286</v>
      </c>
      <c r="E37" s="27">
        <f t="shared" si="22"/>
        <v>110637.83050847458</v>
      </c>
      <c r="F37" s="27">
        <f t="shared" si="22"/>
        <v>467770.00343562383</v>
      </c>
      <c r="G37" s="27">
        <f t="shared" si="22"/>
        <v>245585.67020618555</v>
      </c>
      <c r="H37" s="27">
        <f t="shared" si="22"/>
        <v>120786.46999999999</v>
      </c>
      <c r="I37" s="27">
        <f t="shared" si="22"/>
        <v>145963.36144444445</v>
      </c>
      <c r="J37" s="27">
        <f t="shared" si="22"/>
        <v>0</v>
      </c>
      <c r="K37" s="28">
        <f t="shared" si="16"/>
        <v>22.92492508915114</v>
      </c>
      <c r="L37" s="28"/>
      <c r="M37" s="28"/>
      <c r="N37" s="28"/>
      <c r="O37" s="28"/>
      <c r="P37" s="28"/>
      <c r="Q37" s="237"/>
      <c r="R37" s="61">
        <f aca="true" t="shared" si="23" ref="R37:AE37">SUM(R38:R46)</f>
        <v>25005209.259999998</v>
      </c>
      <c r="S37" s="61">
        <f t="shared" si="23"/>
        <v>2308405.67</v>
      </c>
      <c r="T37" s="61">
        <f t="shared" si="23"/>
        <v>13105281.690000001</v>
      </c>
      <c r="U37" s="61">
        <f t="shared" si="23"/>
        <v>4819556.319999999</v>
      </c>
      <c r="V37" s="61">
        <f t="shared" si="23"/>
        <v>2076166.8399999999</v>
      </c>
      <c r="W37" s="61">
        <f t="shared" si="23"/>
        <v>2695798.7399999998</v>
      </c>
      <c r="X37" s="61">
        <f t="shared" si="23"/>
        <v>0</v>
      </c>
      <c r="Y37" s="59">
        <f t="shared" si="23"/>
        <v>1102832.2480092116</v>
      </c>
      <c r="Z37" s="59">
        <f t="shared" si="23"/>
        <v>113500.98878977103</v>
      </c>
      <c r="AA37" s="59">
        <f t="shared" si="23"/>
        <v>467631.309</v>
      </c>
      <c r="AB37" s="59">
        <f t="shared" si="23"/>
        <v>246072.30352203548</v>
      </c>
      <c r="AC37" s="59">
        <f t="shared" si="23"/>
        <v>126795.63271764466</v>
      </c>
      <c r="AD37" s="59">
        <f t="shared" si="23"/>
        <v>148832.0139797604</v>
      </c>
      <c r="AE37" s="59">
        <f t="shared" si="23"/>
        <v>0</v>
      </c>
      <c r="AF37" s="86">
        <f>AM37/Y37</f>
        <v>18.422774621141016</v>
      </c>
      <c r="AG37" s="101">
        <f>AG40</f>
        <v>17.7</v>
      </c>
      <c r="AH37" s="101">
        <f>AO37/AA37</f>
        <v>19.83219074837438</v>
      </c>
      <c r="AI37" s="101">
        <f>AP37/AB37</f>
        <v>18.18213251130617</v>
      </c>
      <c r="AJ37" s="101">
        <f>AQ37/AC37</f>
        <v>16.232932916415628</v>
      </c>
      <c r="AK37" s="27">
        <f>AK40</f>
        <v>18</v>
      </c>
      <c r="AL37" s="27"/>
      <c r="AM37" s="27">
        <f aca="true" t="shared" si="24" ref="AM37:AZ37">SUM(AM38:AM46)</f>
        <v>20317229.95</v>
      </c>
      <c r="AN37" s="27">
        <f t="shared" si="24"/>
        <v>1974415.89</v>
      </c>
      <c r="AO37" s="27">
        <f t="shared" si="24"/>
        <v>9274153.32</v>
      </c>
      <c r="AP37" s="27">
        <f t="shared" si="24"/>
        <v>4474119.23</v>
      </c>
      <c r="AQ37" s="27">
        <f t="shared" si="24"/>
        <v>2058265.0000000002</v>
      </c>
      <c r="AR37" s="27">
        <f t="shared" si="24"/>
        <v>2536276.51</v>
      </c>
      <c r="AS37" s="27">
        <f t="shared" si="24"/>
        <v>0</v>
      </c>
      <c r="AT37" s="118">
        <f t="shared" si="24"/>
        <v>-1311.5677000002051</v>
      </c>
      <c r="AU37" s="27">
        <f t="shared" si="24"/>
        <v>0</v>
      </c>
      <c r="AV37" s="27">
        <f t="shared" si="24"/>
        <v>0</v>
      </c>
      <c r="AW37" s="27">
        <f t="shared" si="24"/>
        <v>0</v>
      </c>
      <c r="AX37" s="27">
        <f t="shared" si="24"/>
        <v>0</v>
      </c>
      <c r="AY37" s="27">
        <f t="shared" si="24"/>
        <v>-1311.5677000002051</v>
      </c>
      <c r="AZ37" s="27">
        <f t="shared" si="24"/>
        <v>0</v>
      </c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</row>
    <row r="38" spans="1:52" s="4" customFormat="1" ht="56.25" customHeight="1">
      <c r="A38" s="123"/>
      <c r="B38" s="124" t="s">
        <v>39</v>
      </c>
      <c r="C38" s="72"/>
      <c r="D38" s="63">
        <f>SUM(E38:I38)</f>
        <v>171262.47273562386</v>
      </c>
      <c r="E38" s="37"/>
      <c r="F38" s="195">
        <f>Январь!F38+Февраль!F38+Март!F38+Апрель!F38+Май!F38+Июнь!F38+'Июль 1'!F38+Август!F38+Сентябрь!F38+Октябрь!F38+Ноябрь!F38+Декабрь!F38</f>
        <v>171262.47273562386</v>
      </c>
      <c r="G38" s="37"/>
      <c r="H38" s="37"/>
      <c r="I38" s="37"/>
      <c r="J38" s="37"/>
      <c r="K38" s="63">
        <f t="shared" si="16"/>
        <v>33.45976662876966</v>
      </c>
      <c r="L38" s="73"/>
      <c r="M38" s="145">
        <v>26.5</v>
      </c>
      <c r="N38" s="73"/>
      <c r="O38" s="73"/>
      <c r="P38" s="73"/>
      <c r="Q38" s="239"/>
      <c r="R38" s="227">
        <f>SUM(S38:W38)</f>
        <v>5730402.37</v>
      </c>
      <c r="S38" s="37"/>
      <c r="T38" s="37">
        <f>Январь!T38+Февраль!T38+Март!T38+Апрель!T38+Май!T38+Июнь!T38+'Июль 1'!T38+Август!T38+Сентябрь!T38+Октябрь!T38+Ноябрь!T38+Декабрь!T38</f>
        <v>5730402.37</v>
      </c>
      <c r="U38" s="37"/>
      <c r="V38" s="37"/>
      <c r="W38" s="37"/>
      <c r="X38" s="37"/>
      <c r="Y38" s="67">
        <f>SUM(Z38:AD38)</f>
        <v>171355.65800000002</v>
      </c>
      <c r="Z38" s="195"/>
      <c r="AA38" s="195">
        <f>Январь!AA38+Февраль!AA38+Март!AA38+Апрель!AA38+Май!AA38+Июнь!AA38+'Июль 1'!AA38+Август!AA38+Сентябрь!AA38+Октябрь!AA38+Ноябрь!AA38+Декабрь!AA38</f>
        <v>171355.65800000002</v>
      </c>
      <c r="AB38" s="195"/>
      <c r="AC38" s="195"/>
      <c r="AD38" s="195"/>
      <c r="AE38" s="195"/>
      <c r="AF38" s="14">
        <f>AH38</f>
        <v>26.5</v>
      </c>
      <c r="AG38" s="37"/>
      <c r="AH38" s="37">
        <v>26.5</v>
      </c>
      <c r="AI38" s="13"/>
      <c r="AJ38" s="13"/>
      <c r="AK38" s="13"/>
      <c r="AL38" s="37"/>
      <c r="AM38" s="15">
        <f>SUM(AN38:AR38)</f>
        <v>3747760.5700000003</v>
      </c>
      <c r="AN38" s="37"/>
      <c r="AO38" s="37">
        <f>Январь!AO38+Февраль!AO38+Март!AO38+Апрель!AO38+Май!AO38+Июнь!AO38+'Июль 1'!AO38+Август!AO38+Сентябрь!AO38+Октябрь!AO38+Ноябрь!AO38+Декабрь!AO38</f>
        <v>3747760.5700000003</v>
      </c>
      <c r="AP38" s="37"/>
      <c r="AQ38" s="37"/>
      <c r="AR38" s="37"/>
      <c r="AS38" s="37"/>
      <c r="AT38" s="15">
        <f>SUM(AU38:AY38)</f>
        <v>0</v>
      </c>
      <c r="AU38" s="37"/>
      <c r="AV38" s="37">
        <f>(M38-AH38)*F38</f>
        <v>0</v>
      </c>
      <c r="AW38" s="37"/>
      <c r="AX38" s="37"/>
      <c r="AY38" s="37"/>
      <c r="AZ38" s="13"/>
    </row>
    <row r="39" spans="1:52" ht="45.75" customHeight="1">
      <c r="A39" s="38"/>
      <c r="B39" s="39" t="s">
        <v>24</v>
      </c>
      <c r="C39" s="40"/>
      <c r="D39" s="14">
        <f>SUM(E39:I39)</f>
        <v>8267.020206185567</v>
      </c>
      <c r="E39" s="13"/>
      <c r="F39" s="13"/>
      <c r="G39" s="195">
        <f>Январь!G39+Февраль!G39+Март!G39+Апрель!G39+Май!G39+Июнь!G39+'Июль 1'!G39+Август!G39+Сентябрь!G39+Октябрь!G39+Ноябрь!G39+Декабрь!G39</f>
        <v>8267.020206185567</v>
      </c>
      <c r="H39" s="13"/>
      <c r="I39" s="13"/>
      <c r="J39" s="13"/>
      <c r="K39" s="14">
        <f t="shared" si="16"/>
        <v>28.412747778728182</v>
      </c>
      <c r="L39" s="13"/>
      <c r="M39" s="13"/>
      <c r="N39" s="13">
        <v>29.1</v>
      </c>
      <c r="O39" s="13"/>
      <c r="P39" s="13"/>
      <c r="Q39" s="235"/>
      <c r="R39" s="228">
        <f>SUM(S39:W39)</f>
        <v>234888.75999999998</v>
      </c>
      <c r="S39" s="13"/>
      <c r="T39" s="13"/>
      <c r="U39" s="37">
        <f>Январь!U39+Февраль!U39+Март!U39+Апрель!U39+Май!U39+Июнь!U39+'Июль 1'!U39+Август!U39+Сентябрь!U39+Октябрь!U39+Ноябрь!U39+Декабрь!U39</f>
        <v>234888.75999999998</v>
      </c>
      <c r="V39" s="13"/>
      <c r="W39" s="13"/>
      <c r="X39" s="13"/>
      <c r="Y39" s="64">
        <f>SUM(Z39:AD39)</f>
        <v>8266.059272852233</v>
      </c>
      <c r="Z39" s="197"/>
      <c r="AA39" s="197"/>
      <c r="AB39" s="195">
        <f>Январь!AB39+Февраль!AB39+Март!AB39+Апрель!AB39+Май!AB39+Июнь!AB39+'Июль 1'!AB39+Август!AB39+Сентябрь!AB39+Октябрь!AB39+Ноябрь!AB39+Декабрь!AB39</f>
        <v>8266.059272852233</v>
      </c>
      <c r="AC39" s="197"/>
      <c r="AD39" s="197"/>
      <c r="AE39" s="197"/>
      <c r="AF39" s="14">
        <f>AI39</f>
        <v>29.1</v>
      </c>
      <c r="AG39" s="127"/>
      <c r="AH39" s="13"/>
      <c r="AI39" s="127">
        <v>29.1</v>
      </c>
      <c r="AJ39" s="13"/>
      <c r="AK39" s="13"/>
      <c r="AL39" s="13"/>
      <c r="AM39" s="14">
        <f>SUM(AN39:AR39)</f>
        <v>223391.4</v>
      </c>
      <c r="AN39" s="13"/>
      <c r="AO39" s="13"/>
      <c r="AP39" s="37">
        <f>Январь!AP39+Февраль!AP39+Март!AP39+Апрель!AP39+Май!AP39+Июнь!AP39+'Июль 1'!AP39+Август!AP39+Сентябрь!AP39+Октябрь!AP39+Ноябрь!AP39+Декабрь!AP39</f>
        <v>223391.4</v>
      </c>
      <c r="AQ39" s="13"/>
      <c r="AR39" s="13"/>
      <c r="AS39" s="13"/>
      <c r="AT39" s="15">
        <f>SUM(AU39:AY39)</f>
        <v>0</v>
      </c>
      <c r="AU39" s="37"/>
      <c r="AV39" s="37"/>
      <c r="AW39" s="37">
        <f>(N39-AI39)*G39</f>
        <v>0</v>
      </c>
      <c r="AX39" s="37"/>
      <c r="AY39" s="37"/>
      <c r="AZ39" s="13"/>
    </row>
    <row r="40" spans="1:52" ht="46.5" customHeight="1">
      <c r="A40" s="9"/>
      <c r="B40" s="43" t="s">
        <v>25</v>
      </c>
      <c r="C40" s="10"/>
      <c r="D40" s="15">
        <f aca="true" t="shared" si="25" ref="D40:D46">SUM(E40:I40)</f>
        <v>511849.5112649718</v>
      </c>
      <c r="E40" s="195">
        <f>Январь!E40+Февраль!E40+Март!E40+Апрель!E40+Май!E40+Июнь!E40+'Июль 1'!E40+Август!E40+Сентябрь!E40+Октябрь!E40+Ноябрь!E40+Декабрь!E40</f>
        <v>48028.37056497175</v>
      </c>
      <c r="F40" s="195">
        <f>Январь!F40+Февраль!F40+Март!F40+Апрель!F40+Май!F40+Июнь!F40+'Июль 1'!F40+Август!F40+Сентябрь!F40+Октябрь!F40+Ноябрь!F40+Декабрь!F40+7.0007</f>
        <v>17229.0107</v>
      </c>
      <c r="G40" s="195">
        <f>Январь!G40+Февраль!G40+Март!G40+Апрель!G40+Май!G40+Июнь!G40+'Июль 1'!G40+Август!G40+Сентябрь!G40+Октябрь!G40+Ноябрь!G40+Декабрь!G40</f>
        <v>237318.65</v>
      </c>
      <c r="H40" s="195">
        <f>Январь!H40+Февраль!H40+Март!H40+Апрель!H40+Май!H40+Июнь!H40+'Июль 1'!H40+Август!H40+Сентябрь!H40+Октябрь!H40+Ноябрь!H40+Декабрь!H40</f>
        <v>78116.70999999999</v>
      </c>
      <c r="I40" s="195">
        <f>Январь!I40+Февраль!I40+Март!I40+Апрель!I40+Май!I40+Июнь!I40+'Июль 1'!I40+Август!I40+Сентябрь!I40+Октябрь!I40+Ноябрь!I40+Декабрь!I40</f>
        <v>131156.77000000002</v>
      </c>
      <c r="J40" s="96"/>
      <c r="K40" s="120">
        <f t="shared" si="16"/>
        <v>19.0030720083363</v>
      </c>
      <c r="L40" s="37">
        <v>17.7</v>
      </c>
      <c r="M40" s="37">
        <v>19.8</v>
      </c>
      <c r="N40" s="37">
        <f>M40</f>
        <v>19.8</v>
      </c>
      <c r="O40" s="37">
        <f>N40</f>
        <v>19.8</v>
      </c>
      <c r="P40" s="37">
        <v>17.99</v>
      </c>
      <c r="Q40" s="239"/>
      <c r="R40" s="227">
        <f aca="true" t="shared" si="26" ref="R40:R46">SUM(S40:W40)</f>
        <v>9726713.120000001</v>
      </c>
      <c r="S40" s="37">
        <f>Январь!S40+Февраль!S40+Март!S40+Апрель!S40+Май!S40+Июнь!S40+'Июль 1'!S40+Август!S40+Сентябрь!S40+Октябрь!S40+Ноябрь!S40+Декабрь!S40</f>
        <v>879161.28</v>
      </c>
      <c r="T40" s="37">
        <f>Январь!T40+Февраль!T40+Март!T40+Апрель!T40+Май!T40+Июнь!T40+'Июль 1'!T40+Август!T40+Сентябрь!T40+Октябрь!T40+Ноябрь!T40+Декабрь!T40</f>
        <v>333061.99</v>
      </c>
      <c r="U40" s="37">
        <f>Январь!U40+Февраль!U40+Март!U40+Апрель!U40+Май!U40+Июнь!U40+'Июль 1'!U40+Август!U40+Сентябрь!U40+Октябрь!U40+Ноябрь!U40+Декабрь!U40</f>
        <v>4584667.56</v>
      </c>
      <c r="V40" s="37">
        <f>Январь!V40+Февраль!V40+Март!V40+Апрель!V40+Май!V40+Июнь!V40+'Июль 1'!V40+Август!V40+Сентябрь!V40+Октябрь!V40+Ноябрь!V40+Декабрь!V40</f>
        <v>1510552.66</v>
      </c>
      <c r="W40" s="37">
        <f>Январь!W40+Февраль!W40+Март!W40+Апрель!W40+Май!W40+Июнь!W40+'Июль 1'!W40+Август!W40+Сентябрь!W40+Октябрь!W40+Ноябрь!W40+Декабрь!W40</f>
        <v>2419269.63</v>
      </c>
      <c r="X40" s="199"/>
      <c r="Y40" s="67">
        <f aca="true" t="shared" si="27" ref="Y40:Y46">SUM(Z40:AD40)</f>
        <v>518731.90600916755</v>
      </c>
      <c r="Z40" s="195">
        <f>Январь!Z40+Февраль!Z40+Март!Z40+Апрель!Z40+Май!Z40+Июнь!Z40+'Июль 1'!Z40+Август!Z40+Сентябрь!Z40+Октябрь!Z40+Ноябрь!Z40+Декабрь!Z40</f>
        <v>51008.037843195554</v>
      </c>
      <c r="AA40" s="195">
        <f>Январь!AA40+Февраль!AA40+Март!AA40+Апрель!AA40+Май!AA40+Июнь!AA40+'Июль 1'!AA40+Август!AA40+Сентябрь!AA40+Октябрь!AA40+Ноябрь!AA40+Декабрь!AA40</f>
        <v>17016.478</v>
      </c>
      <c r="AB40" s="195">
        <f>Январь!AB40+Февраль!AB40+Март!AB40+Апрель!AB40+Май!AB40+Июнь!AB40+'Июль 1'!AB40+Август!AB40+Сентябрь!AB40+Октябрь!AB40+Ноябрь!AB40+Декабрь!AB40</f>
        <v>237806.24424918325</v>
      </c>
      <c r="AC40" s="195">
        <f>Январь!AC40+Февраль!AC40+Март!AC40+Апрель!AC40+Май!AC40+Июнь!AC40+'Июль 1'!AC40+Август!AC40+Сентябрь!AC40+Октябрь!AC40+Ноябрь!AC40+Декабрь!AC40</f>
        <v>78875.72232736283</v>
      </c>
      <c r="AD40" s="195">
        <f>Январь!AD40+Февраль!AD40+Март!AD40+Апрель!AD40+Май!AD40+Июнь!AD40+'Июль 1'!AD40+Август!AD40+Сентябрь!AD40+Октябрь!AD40+Ноябрь!AD40+Декабрь!AD40</f>
        <v>134025.42358942583</v>
      </c>
      <c r="AE40" s="201"/>
      <c r="AF40" s="15">
        <f>AM40/Y40</f>
        <v>17.644919493034305</v>
      </c>
      <c r="AG40" s="37">
        <v>17.7</v>
      </c>
      <c r="AH40" s="37">
        <v>19.8</v>
      </c>
      <c r="AI40" s="37">
        <f>AH40</f>
        <v>19.8</v>
      </c>
      <c r="AJ40" s="37">
        <f>AH40</f>
        <v>19.8</v>
      </c>
      <c r="AK40" s="37">
        <v>18</v>
      </c>
      <c r="AL40" s="37"/>
      <c r="AM40" s="15">
        <f aca="true" t="shared" si="28" ref="AM40:AM46">SUM(AN40:AR40)</f>
        <v>9152982.719999999</v>
      </c>
      <c r="AN40" s="37">
        <f>Январь!AN40+Февраль!AN40+Март!AN40+Апрель!AN40+Май!AN40+Июнь!AN40+'Июль 1'!AN40+Август!AN40+Сентябрь!AN40+Октябрь!AN40+Ноябрь!AN40+Декабрь!AN40</f>
        <v>887403.8399999999</v>
      </c>
      <c r="AO40" s="37">
        <f>Январь!AO40+Февраль!AO40+Март!AO40+Апрель!AO40+Май!AO40+Июнь!AO40+'Июль 1'!AO40+Август!AO40+Сентябрь!AO40+Октябрь!AO40+Ноябрь!AO40+Декабрь!AO40</f>
        <v>316339.42000000004</v>
      </c>
      <c r="AP40" s="37">
        <f>Январь!AP40+Февраль!AP40+Март!AP40+Апрель!AP40+Май!AP40+Июнь!AP40+'Июль 1'!AP40+Август!AP40+Сентябрь!AP40+Октябрь!AP40+Ноябрь!AP40+Декабрь!AP40</f>
        <v>4250727.83</v>
      </c>
      <c r="AQ40" s="37">
        <f>Январь!AQ40+Февраль!AQ40+Март!AQ40+Апрель!AQ40+Май!AQ40+Июнь!AQ40+'Июль 1'!AQ40+Август!AQ40+Сентябрь!AQ40+Октябрь!AQ40+Ноябрь!AQ40+Декабрь!AQ40</f>
        <v>1414085.8700000003</v>
      </c>
      <c r="AR40" s="37">
        <f>Январь!AR40+Февраль!AR40+Март!AR40+Апрель!AR40+Май!AR40+Июнь!AR40+'Июль 1'!AR40+Август!AR40+Сентябрь!AR40+Октябрь!AR40+Ноябрь!AR40+Декабрь!AR40</f>
        <v>2284425.76</v>
      </c>
      <c r="AS40" s="199"/>
      <c r="AT40" s="15">
        <f aca="true" t="shared" si="29" ref="AT40:AT46">SUM(AU40:AY40)</f>
        <v>-1311.5677000002051</v>
      </c>
      <c r="AU40" s="37">
        <f>(L40-AG40)*E40</f>
        <v>0</v>
      </c>
      <c r="AV40" s="37">
        <f>(M40-AH40)*F40</f>
        <v>0</v>
      </c>
      <c r="AW40" s="37">
        <f>(N40-AI40)*G40</f>
        <v>0</v>
      </c>
      <c r="AX40" s="37">
        <f>(O40-AJ40)*H40</f>
        <v>0</v>
      </c>
      <c r="AY40" s="37">
        <f>(P40-AK40)*I40</f>
        <v>-1311.5677000002051</v>
      </c>
      <c r="AZ40" s="37"/>
    </row>
    <row r="41" spans="1:52" ht="47.25" customHeight="1">
      <c r="A41" s="38"/>
      <c r="B41" s="43" t="s">
        <v>29</v>
      </c>
      <c r="C41" s="10"/>
      <c r="D41" s="15">
        <f t="shared" si="25"/>
        <v>42669.759999999995</v>
      </c>
      <c r="E41" s="13"/>
      <c r="F41" s="13"/>
      <c r="G41" s="13"/>
      <c r="H41" s="195">
        <f>Январь!H41+Февраль!H41+Март!H41+Апрель!H41+Май!H41+Июнь!H41+'Июль 1'!H41+Август!H41+Сентябрь!H41+Октябрь!H41+Ноябрь!H41+Декабрь!H41</f>
        <v>42669.759999999995</v>
      </c>
      <c r="I41" s="13"/>
      <c r="J41" s="13"/>
      <c r="K41" s="14">
        <f t="shared" si="16"/>
        <v>13.25562131120494</v>
      </c>
      <c r="L41" s="37"/>
      <c r="M41" s="37"/>
      <c r="N41" s="37"/>
      <c r="O41" s="37">
        <v>13.58</v>
      </c>
      <c r="P41" s="37"/>
      <c r="Q41" s="239"/>
      <c r="R41" s="227">
        <f t="shared" si="26"/>
        <v>565614.18</v>
      </c>
      <c r="S41" s="13"/>
      <c r="T41" s="13"/>
      <c r="U41" s="13"/>
      <c r="V41" s="37">
        <f>Январь!V41+Февраль!V41+Март!V41+Апрель!V41+Май!V41+Июнь!V41+'Июль 1'!V41+Август!V41+Сентябрь!V41+Октябрь!V41+Ноябрь!V41+Декабрь!V41</f>
        <v>565614.18</v>
      </c>
      <c r="W41" s="13"/>
      <c r="X41" s="13"/>
      <c r="Y41" s="67">
        <f t="shared" si="27"/>
        <v>44294.2548891741</v>
      </c>
      <c r="Z41" s="197"/>
      <c r="AA41" s="197"/>
      <c r="AB41" s="197"/>
      <c r="AC41" s="195">
        <f>Январь!AC41+Февраль!AC41+Март!AC41+Апрель!AC41+Май!AC41+Июнь!AC41+'Июль 1'!AC41+Август!AC41+Сентябрь!AC41+Октябрь!AC41+Ноябрь!AC41+Декабрь!AC41</f>
        <v>44294.2548891741</v>
      </c>
      <c r="AD41" s="197"/>
      <c r="AE41" s="197"/>
      <c r="AF41" s="14">
        <f>AJ41</f>
        <v>13.58</v>
      </c>
      <c r="AG41" s="37"/>
      <c r="AH41" s="37"/>
      <c r="AI41" s="13"/>
      <c r="AJ41" s="13">
        <v>13.58</v>
      </c>
      <c r="AK41" s="13"/>
      <c r="AL41" s="37"/>
      <c r="AM41" s="15">
        <f t="shared" si="28"/>
        <v>582807.7899999999</v>
      </c>
      <c r="AN41" s="13"/>
      <c r="AO41" s="13"/>
      <c r="AP41" s="13"/>
      <c r="AQ41" s="37">
        <f>Январь!AQ41+Февраль!AQ41+Март!AQ41+Апрель!AQ41+Май!AQ41+Июнь!AQ41+'Июль 1'!AQ41+Август!AQ41+Сентябрь!AQ41+Октябрь!AQ41+Ноябрь!AQ41+Декабрь!AQ41</f>
        <v>582807.7899999999</v>
      </c>
      <c r="AR41" s="13"/>
      <c r="AS41" s="13"/>
      <c r="AT41" s="15">
        <f t="shared" si="29"/>
        <v>0</v>
      </c>
      <c r="AU41" s="37"/>
      <c r="AV41" s="37"/>
      <c r="AW41" s="37"/>
      <c r="AX41" s="37"/>
      <c r="AY41" s="37"/>
      <c r="AZ41" s="13"/>
    </row>
    <row r="42" spans="1:52" ht="47.25" customHeight="1" hidden="1">
      <c r="A42" s="38"/>
      <c r="B42" s="43" t="s">
        <v>55</v>
      </c>
      <c r="C42" s="10"/>
      <c r="D42" s="15">
        <f>F42</f>
        <v>0</v>
      </c>
      <c r="E42" s="37"/>
      <c r="F42" s="195"/>
      <c r="G42" s="37"/>
      <c r="H42" s="97"/>
      <c r="I42" s="37"/>
      <c r="J42" s="37"/>
      <c r="K42" s="14" t="e">
        <f t="shared" si="16"/>
        <v>#DIV/0!</v>
      </c>
      <c r="L42" s="37"/>
      <c r="M42" s="37">
        <v>13.58</v>
      </c>
      <c r="N42" s="37"/>
      <c r="O42" s="37"/>
      <c r="P42" s="37"/>
      <c r="Q42" s="239"/>
      <c r="R42" s="227">
        <f>T42</f>
        <v>95.07</v>
      </c>
      <c r="S42" s="37"/>
      <c r="T42" s="37">
        <f>Январь!T42+Февраль!T42+Март!T42+Апрель!T42+Май!T42+Июнь!T42+'Июль 1'!T42+Август!T42+Сентябрь!T42+Октябрь!T42+Ноябрь!T42+Декабрь!T42</f>
        <v>95.07</v>
      </c>
      <c r="U42" s="37"/>
      <c r="V42" s="16"/>
      <c r="W42" s="37"/>
      <c r="X42" s="37"/>
      <c r="Y42" s="67">
        <f>AA42</f>
        <v>38</v>
      </c>
      <c r="Z42" s="195"/>
      <c r="AA42" s="195">
        <f>Январь!AA42+Февраль!AA42+Март!AA42+Апрель!AA42+Май!AA42+Июнь!AA42+'Июль 1'!AA42+Август!AA42+Сентябрь!AA42+Октябрь!AA42+Ноябрь!AA42+Декабрь!AA42</f>
        <v>38</v>
      </c>
      <c r="AB42" s="195"/>
      <c r="AC42" s="132"/>
      <c r="AD42" s="195"/>
      <c r="AE42" s="195"/>
      <c r="AF42" s="14">
        <f>AH42</f>
        <v>19.8</v>
      </c>
      <c r="AG42" s="37"/>
      <c r="AH42" s="37">
        <v>19.8</v>
      </c>
      <c r="AI42" s="13"/>
      <c r="AJ42" s="13"/>
      <c r="AK42" s="13"/>
      <c r="AL42" s="37"/>
      <c r="AM42" s="15">
        <f>AO42</f>
        <v>752.3999999999999</v>
      </c>
      <c r="AN42" s="37"/>
      <c r="AO42" s="37">
        <f>Январь!AO42+Февраль!AO42+Март!AO42+Апрель!AO42+Май!AO42+Июнь!AO42+'Июль 1'!AO42+Август!AO42+Сентябрь!AO42+Октябрь!AO42+Ноябрь!AO42+Декабрь!AO42</f>
        <v>752.3999999999999</v>
      </c>
      <c r="AP42" s="37"/>
      <c r="AQ42" s="16"/>
      <c r="AR42" s="37"/>
      <c r="AS42" s="37"/>
      <c r="AT42" s="15"/>
      <c r="AU42" s="37"/>
      <c r="AV42" s="37"/>
      <c r="AW42" s="37"/>
      <c r="AX42" s="37"/>
      <c r="AY42" s="37"/>
      <c r="AZ42" s="13"/>
    </row>
    <row r="43" spans="1:52" s="4" customFormat="1" ht="39.75" customHeight="1" hidden="1">
      <c r="A43" s="66"/>
      <c r="B43" s="39" t="s">
        <v>44</v>
      </c>
      <c r="C43" s="39"/>
      <c r="D43" s="15">
        <f>SUM(E43:I43)</f>
        <v>0</v>
      </c>
      <c r="E43" s="37"/>
      <c r="F43" s="37"/>
      <c r="G43" s="37"/>
      <c r="H43" s="37"/>
      <c r="I43" s="37"/>
      <c r="J43" s="37"/>
      <c r="K43" s="14"/>
      <c r="L43" s="13"/>
      <c r="M43" s="37"/>
      <c r="N43" s="13"/>
      <c r="O43" s="139"/>
      <c r="P43" s="37"/>
      <c r="Q43" s="239"/>
      <c r="R43" s="227">
        <f>SUM(S43:W43)</f>
        <v>0</v>
      </c>
      <c r="S43" s="37"/>
      <c r="T43" s="37"/>
      <c r="U43" s="37"/>
      <c r="V43" s="37"/>
      <c r="W43" s="37"/>
      <c r="X43" s="37"/>
      <c r="Y43" s="67">
        <f>SUM(Z43:AD43)</f>
        <v>3625.655501107731</v>
      </c>
      <c r="Z43" s="195"/>
      <c r="AA43" s="195"/>
      <c r="AB43" s="195"/>
      <c r="AC43" s="203">
        <f>Январь!AC42+Февраль!AC42+Март!AC42+Апрель!AC42+Май!AC42+Июнь!AC42+'Июль 1'!AC43+Август!AC43+Сентябрь!AC43+Октябрь!AC43+Ноябрь!AC43+Декабрь!AC43</f>
        <v>3625.655501107731</v>
      </c>
      <c r="AD43" s="195"/>
      <c r="AE43" s="195"/>
      <c r="AF43" s="14">
        <f>AJ43</f>
        <v>16.38</v>
      </c>
      <c r="AG43" s="37"/>
      <c r="AH43" s="37"/>
      <c r="AI43" s="13"/>
      <c r="AJ43" s="127">
        <v>16.38</v>
      </c>
      <c r="AK43" s="13"/>
      <c r="AL43" s="37"/>
      <c r="AM43" s="15">
        <f>SUM(AN43:AR43)</f>
        <v>61371.34</v>
      </c>
      <c r="AN43" s="37"/>
      <c r="AO43" s="37"/>
      <c r="AP43" s="37"/>
      <c r="AQ43" s="204">
        <f>Январь!AQ42+Февраль!AQ42+Март!AQ42+Апрель!AQ42+Май!AQ42+Июнь!AQ42+'Июль 1'!AQ43+Август!AQ43+Сентябрь!AQ43+Октябрь!AQ43+Ноябрь!AQ43+Декабрь!AQ43</f>
        <v>61371.34</v>
      </c>
      <c r="AR43" s="37"/>
      <c r="AS43" s="37"/>
      <c r="AT43" s="15">
        <f>SUM(AU43:AY43)</f>
        <v>0</v>
      </c>
      <c r="AU43" s="37"/>
      <c r="AV43" s="37"/>
      <c r="AW43" s="37"/>
      <c r="AX43" s="37"/>
      <c r="AY43" s="37"/>
      <c r="AZ43" s="13"/>
    </row>
    <row r="44" spans="1:52" ht="43.5" customHeight="1">
      <c r="A44" s="66"/>
      <c r="B44" s="39" t="s">
        <v>26</v>
      </c>
      <c r="C44" s="39"/>
      <c r="D44" s="64">
        <f>SUM(E44:I44)</f>
        <v>14806.591444444446</v>
      </c>
      <c r="E44" s="202"/>
      <c r="F44" s="202"/>
      <c r="G44" s="202"/>
      <c r="H44" s="202"/>
      <c r="I44" s="203">
        <f>Январь!I43+Февраль!I43+Март!I43+Апрель!I43+Май!I43+Июнь!I43+'Июль 1'!I44+Август!I44+Сентябрь!I44+Октябрь!I44+Ноябрь!I44+Декабрь!I44</f>
        <v>14806.591444444446</v>
      </c>
      <c r="J44" s="13"/>
      <c r="K44" s="126">
        <f t="shared" si="16"/>
        <v>18.676081597683034</v>
      </c>
      <c r="L44" s="13"/>
      <c r="M44" s="13"/>
      <c r="N44" s="13"/>
      <c r="O44" s="13"/>
      <c r="P44" s="13">
        <v>18</v>
      </c>
      <c r="Q44" s="235"/>
      <c r="R44" s="228">
        <f>SUM(S44:W44)</f>
        <v>276529.11</v>
      </c>
      <c r="S44" s="205"/>
      <c r="T44" s="205"/>
      <c r="U44" s="205"/>
      <c r="V44" s="205"/>
      <c r="W44" s="204">
        <f>Январь!W43+Февраль!W43+Март!W43+Апрель!W43+Май!W43+Июнь!W43+'Июль 1'!W44+Август!W44+Сентябрь!W44+Октябрь!W44+Ноябрь!W44+Декабрь!W44</f>
        <v>276529.11</v>
      </c>
      <c r="X44" s="13"/>
      <c r="Y44" s="64">
        <f>SUM(Z44:AD44)</f>
        <v>14806.590390334573</v>
      </c>
      <c r="Z44" s="206"/>
      <c r="AA44" s="206"/>
      <c r="AB44" s="206"/>
      <c r="AC44" s="206"/>
      <c r="AD44" s="203">
        <f>Январь!AD43+Февраль!AD43+Март!AD43+Апрель!AD43+Май!AD43+Июнь!AD43+'Июль 1'!AD44+Август!AD44+Сентябрь!AD44+Октябрь!AD44+Ноябрь!AD44+Декабрь!AD44</f>
        <v>14806.590390334573</v>
      </c>
      <c r="AE44" s="197"/>
      <c r="AF44" s="14">
        <f>AK44</f>
        <v>18</v>
      </c>
      <c r="AG44" s="13"/>
      <c r="AH44" s="13"/>
      <c r="AI44" s="13"/>
      <c r="AJ44" s="13"/>
      <c r="AK44" s="13">
        <v>18</v>
      </c>
      <c r="AL44" s="13"/>
      <c r="AM44" s="14">
        <f>SUM(AN44:AR44)</f>
        <v>251850.75</v>
      </c>
      <c r="AN44" s="205"/>
      <c r="AO44" s="205"/>
      <c r="AP44" s="205"/>
      <c r="AQ44" s="205"/>
      <c r="AR44" s="204">
        <f>Январь!AR43+Февраль!AR43+Март!AR43+Апрель!AR43+Май!AR43+Июнь!AR43+'Июль 1'!AR44+Август!AR44+Сентябрь!AR44+Октябрь!AR44+Ноябрь!AR44+Декабрь!AR44</f>
        <v>251850.75</v>
      </c>
      <c r="AS44" s="13"/>
      <c r="AT44" s="14">
        <f>SUM(AU44:AY44)</f>
        <v>0</v>
      </c>
      <c r="AU44" s="37"/>
      <c r="AV44" s="37"/>
      <c r="AW44" s="37"/>
      <c r="AX44" s="37"/>
      <c r="AY44" s="37">
        <f>(P44-AK44)*I44</f>
        <v>0</v>
      </c>
      <c r="AZ44" s="13"/>
    </row>
    <row r="45" spans="1:52" ht="81.75" customHeight="1">
      <c r="A45" s="9"/>
      <c r="B45" s="43" t="s">
        <v>27</v>
      </c>
      <c r="C45" s="10"/>
      <c r="D45" s="15">
        <f t="shared" si="25"/>
        <v>118580.97994350281</v>
      </c>
      <c r="E45" s="203">
        <f>Январь!E44+Февраль!E44+Март!E44+Апрель!E44+Май!E44+Июнь!E44+'Июль 1'!E45+Август!E45+Сентябрь!E45+Октябрь!E45+Ноябрь!E45+Декабрь!E45</f>
        <v>62609.45994350282</v>
      </c>
      <c r="F45" s="203">
        <f>Январь!F44+Февраль!F44+Март!F44+Апрель!F44+Май!F44+Июнь!F44+'Июль 1'!F45+Август!F45+Сентябрь!F45+Октябрь!F45+Ноябрь!F45+Декабрь!F45</f>
        <v>55971.51999999999</v>
      </c>
      <c r="G45" s="204"/>
      <c r="H45" s="204"/>
      <c r="I45" s="204"/>
      <c r="J45" s="37"/>
      <c r="K45" s="15">
        <f t="shared" si="16"/>
        <v>23.432169149924817</v>
      </c>
      <c r="L45" s="37">
        <v>17.7</v>
      </c>
      <c r="M45" s="37">
        <v>20</v>
      </c>
      <c r="N45" s="37"/>
      <c r="O45" s="37"/>
      <c r="P45" s="37"/>
      <c r="Q45" s="239"/>
      <c r="R45" s="227">
        <f t="shared" si="26"/>
        <v>2778609.58</v>
      </c>
      <c r="S45" s="204">
        <f>Январь!S44+Февраль!S44+Март!S44+Апрель!S44+Май!S44+Июнь!S44+'Июль 1'!S45+Август!S45+Сентябрь!S45+Октябрь!S45+Ноябрь!S45+Декабрь!S45</f>
        <v>1429244.39</v>
      </c>
      <c r="T45" s="204">
        <f>Январь!T44+Февраль!T44+Март!T44+Апрель!T44+Май!T44+Июнь!T44+'Июль 1'!T45+Август!T45+Сентябрь!T45+Октябрь!T45+Ноябрь!T45+Декабрь!T45</f>
        <v>1349365.19</v>
      </c>
      <c r="U45" s="204"/>
      <c r="V45" s="204"/>
      <c r="W45" s="204"/>
      <c r="X45" s="37"/>
      <c r="Y45" s="67">
        <f t="shared" si="27"/>
        <v>118396.12394657548</v>
      </c>
      <c r="Z45" s="203">
        <f>Январь!Z44+Февраль!Z44+Март!Z44+Апрель!Z44+Май!Z44+Июнь!Z44+'Июль 1'!Z45+Август!Z45+Сентябрь!Z45+Октябрь!Z45+Ноябрь!Z45+Декабрь!Z45</f>
        <v>62492.950946575475</v>
      </c>
      <c r="AA45" s="203">
        <f>Январь!AA44+Февраль!AA44+Март!AA44+Апрель!AA44+Май!AA44+Июнь!AA44+'Июль 1'!AA45+Август!AA45+Сентябрь!AA45+Октябрь!AA45+Ноябрь!AA45+Декабрь!AA45</f>
        <v>55903.172999999995</v>
      </c>
      <c r="AB45" s="203"/>
      <c r="AC45" s="203"/>
      <c r="AD45" s="203"/>
      <c r="AE45" s="195"/>
      <c r="AF45" s="15">
        <f>AM45/Y45</f>
        <v>17.977535995692236</v>
      </c>
      <c r="AG45" s="37">
        <v>17.7</v>
      </c>
      <c r="AH45" s="37">
        <v>20</v>
      </c>
      <c r="AI45" s="37"/>
      <c r="AJ45" s="37"/>
      <c r="AK45" s="37"/>
      <c r="AL45" s="37"/>
      <c r="AM45" s="15">
        <f>SUM(AN45:AS45)</f>
        <v>2128470.58</v>
      </c>
      <c r="AN45" s="204">
        <f>Январь!AN44+Февраль!AN44+Март!AN44+Апрель!AN44+Май!AN44+Июнь!AN44+'Июль 1'!AN45+Август!AN45+Сентябрь!AN45+Октябрь!AN45+Ноябрь!AN45+Декабрь!AN45</f>
        <v>1087012.05</v>
      </c>
      <c r="AO45" s="204">
        <f>Январь!AO44+Февраль!AO44+Март!AO44+Апрель!AO44+Май!AO44+Июнь!AO44+'Июль 1'!AO45+Август!AO45+Сентябрь!AO45+Октябрь!AO45+Ноябрь!AO45+Декабрь!AO45</f>
        <v>1041458.5299999998</v>
      </c>
      <c r="AP45" s="204"/>
      <c r="AQ45" s="204"/>
      <c r="AR45" s="204"/>
      <c r="AS45" s="37"/>
      <c r="AT45" s="15">
        <f t="shared" si="29"/>
        <v>0</v>
      </c>
      <c r="AU45" s="37">
        <f>(L45-AG45)*E45</f>
        <v>0</v>
      </c>
      <c r="AV45" s="37">
        <f>(M45-AH45)*F45</f>
        <v>0</v>
      </c>
      <c r="AW45" s="37"/>
      <c r="AX45" s="37"/>
      <c r="AY45" s="37"/>
      <c r="AZ45" s="13"/>
    </row>
    <row r="46" spans="1:52" ht="81.75" customHeight="1" thickBot="1">
      <c r="A46" s="38"/>
      <c r="B46" s="39" t="s">
        <v>28</v>
      </c>
      <c r="C46" s="40"/>
      <c r="D46" s="15">
        <f t="shared" si="25"/>
        <v>223307</v>
      </c>
      <c r="E46" s="205"/>
      <c r="F46" s="203">
        <f>Январь!F45+Февраль!F45+Март!F45+Апрель!F45+Май!F45+Июнь!F45+'Июль 1'!F46+Август!F46+Сентябрь!F46+Октябрь!F46+Ноябрь!F46+Декабрь!F46</f>
        <v>223307</v>
      </c>
      <c r="G46" s="204"/>
      <c r="H46" s="204"/>
      <c r="I46" s="204"/>
      <c r="J46" s="37"/>
      <c r="K46" s="14">
        <f t="shared" si="16"/>
        <v>25.491171660539084</v>
      </c>
      <c r="L46" s="13"/>
      <c r="M46" s="139">
        <v>20</v>
      </c>
      <c r="N46" s="37"/>
      <c r="O46" s="37"/>
      <c r="P46" s="37"/>
      <c r="Q46" s="239"/>
      <c r="R46" s="227">
        <f t="shared" si="26"/>
        <v>5692357.070000001</v>
      </c>
      <c r="S46" s="205"/>
      <c r="T46" s="204">
        <f>Январь!T45+Февраль!T45+Март!T45+Апрель!T45+Май!T45+Июнь!T45+'Июль 1'!T46+Август!T46+Сентябрь!T46+Октябрь!T46+Ноябрь!T46+Декабрь!T46</f>
        <v>5692357.070000001</v>
      </c>
      <c r="U46" s="204"/>
      <c r="V46" s="204"/>
      <c r="W46" s="204"/>
      <c r="X46" s="37"/>
      <c r="Y46" s="67">
        <f t="shared" si="27"/>
        <v>223318</v>
      </c>
      <c r="Z46" s="206"/>
      <c r="AA46" s="203">
        <f>Январь!AA45+Февраль!AA45+Март!AA45+Апрель!AA45+Май!AA45+Июнь!AA45+'Июль 1'!AA46+Август!AA46+Сентябрь!AA46+Октябрь!AA46+Ноябрь!AA46+Декабрь!AA46</f>
        <v>223318</v>
      </c>
      <c r="AB46" s="203"/>
      <c r="AC46" s="203"/>
      <c r="AD46" s="203"/>
      <c r="AE46" s="195"/>
      <c r="AF46" s="14">
        <f>AH46</f>
        <v>20</v>
      </c>
      <c r="AG46" s="37"/>
      <c r="AH46" s="37">
        <v>20</v>
      </c>
      <c r="AI46" s="13"/>
      <c r="AJ46" s="13"/>
      <c r="AK46" s="13"/>
      <c r="AL46" s="37"/>
      <c r="AM46" s="15">
        <f t="shared" si="28"/>
        <v>4167842.4000000004</v>
      </c>
      <c r="AN46" s="205"/>
      <c r="AO46" s="204">
        <f>Январь!AO45+Февраль!AO45+Март!AO45+Апрель!AO45+Май!AO45+Июнь!AO45+'Июль 1'!AO46+Август!AO46+Сентябрь!AO46+Октябрь!AO46+Ноябрь!AO46+Декабрь!AO46</f>
        <v>4167842.4000000004</v>
      </c>
      <c r="AP46" s="204"/>
      <c r="AQ46" s="204"/>
      <c r="AR46" s="204"/>
      <c r="AS46" s="37"/>
      <c r="AT46" s="15">
        <f t="shared" si="29"/>
        <v>0</v>
      </c>
      <c r="AU46" s="37"/>
      <c r="AV46" s="37">
        <f>(M46-AH46)*F46</f>
        <v>0</v>
      </c>
      <c r="AW46" s="37"/>
      <c r="AX46" s="37"/>
      <c r="AY46" s="37"/>
      <c r="AZ46" s="13"/>
    </row>
    <row r="47" spans="1:65" s="91" customFormat="1" ht="39.75" customHeight="1" thickBot="1">
      <c r="A47" s="88"/>
      <c r="B47" s="89"/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244"/>
      <c r="R47" s="233">
        <f aca="true" t="shared" si="30" ref="R47:X47">R37+R27+R19+R7</f>
        <v>241005392.75</v>
      </c>
      <c r="S47" s="90">
        <f t="shared" si="30"/>
        <v>20501041.26</v>
      </c>
      <c r="T47" s="90">
        <f t="shared" si="30"/>
        <v>98951052.9</v>
      </c>
      <c r="U47" s="90">
        <f t="shared" si="30"/>
        <v>51472824.15</v>
      </c>
      <c r="V47" s="90">
        <f t="shared" si="30"/>
        <v>34490865.93</v>
      </c>
      <c r="W47" s="90">
        <f t="shared" si="30"/>
        <v>32766229.560000002</v>
      </c>
      <c r="X47" s="90">
        <f t="shared" si="30"/>
        <v>2823378.95</v>
      </c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>
        <f aca="true" t="shared" si="31" ref="AM47:AZ47">AM37+AM27+AM19+AM7</f>
        <v>166236608.59</v>
      </c>
      <c r="AN47" s="90">
        <f t="shared" si="31"/>
        <v>13254227.01</v>
      </c>
      <c r="AO47" s="90">
        <f t="shared" si="31"/>
        <v>77130080.49</v>
      </c>
      <c r="AP47" s="90">
        <f t="shared" si="31"/>
        <v>33152096.330000002</v>
      </c>
      <c r="AQ47" s="90">
        <f t="shared" si="31"/>
        <v>21111396.83</v>
      </c>
      <c r="AR47" s="90">
        <f t="shared" si="31"/>
        <v>19133735.17</v>
      </c>
      <c r="AS47" s="90">
        <f t="shared" si="31"/>
        <v>2455072.7600000002</v>
      </c>
      <c r="AT47" s="90">
        <f t="shared" si="31"/>
        <v>36289.11372055167</v>
      </c>
      <c r="AU47" s="90">
        <f t="shared" si="31"/>
        <v>0</v>
      </c>
      <c r="AV47" s="90">
        <f t="shared" si="31"/>
        <v>0</v>
      </c>
      <c r="AW47" s="90">
        <f t="shared" si="31"/>
        <v>33.86902000001733</v>
      </c>
      <c r="AX47" s="90">
        <f t="shared" si="31"/>
        <v>0</v>
      </c>
      <c r="AY47" s="90">
        <f t="shared" si="31"/>
        <v>-1311.5677000002051</v>
      </c>
      <c r="AZ47" s="90">
        <f t="shared" si="31"/>
        <v>37566.81240055186</v>
      </c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</row>
    <row r="48" spans="5:25" ht="25.5" customHeight="1">
      <c r="E48" s="6"/>
      <c r="Q48" s="104"/>
      <c r="Y48" s="6"/>
    </row>
    <row r="49" spans="2:57" ht="55.5" customHeight="1">
      <c r="B49" s="208"/>
      <c r="C49" s="208"/>
      <c r="D49" s="208"/>
      <c r="E49" s="208"/>
      <c r="Q49" s="104"/>
      <c r="U49" s="208"/>
      <c r="V49" s="208"/>
      <c r="W49" s="94"/>
      <c r="X49" s="94"/>
      <c r="Y49" s="94"/>
      <c r="Z49" s="94"/>
      <c r="AT49" s="213" t="s">
        <v>19</v>
      </c>
      <c r="AU49" s="213"/>
      <c r="AV49" s="213"/>
      <c r="AW49" s="213"/>
      <c r="AY49" s="214" t="s">
        <v>45</v>
      </c>
      <c r="AZ49" s="214"/>
      <c r="BA49" s="208"/>
      <c r="BB49" s="208"/>
      <c r="BC49" s="208"/>
      <c r="BD49" s="208"/>
      <c r="BE49" s="208"/>
    </row>
    <row r="50" spans="5:26" ht="55.5" customHeight="1">
      <c r="E50" s="6"/>
      <c r="Y50" s="6"/>
      <c r="Z50" s="6"/>
    </row>
    <row r="51" spans="5:54" ht="26.25">
      <c r="E51" s="6"/>
      <c r="Y51" s="6"/>
      <c r="Z51" s="6"/>
      <c r="AT51" s="6"/>
      <c r="AV51" s="93"/>
      <c r="BA51" s="6"/>
      <c r="BB51" s="6"/>
    </row>
    <row r="52" spans="5:26" ht="26.25">
      <c r="E52" s="6"/>
      <c r="Y52" s="6"/>
      <c r="Z52" s="6"/>
    </row>
    <row r="53" spans="5:26" ht="26.25">
      <c r="E53" s="6"/>
      <c r="Y53" s="6"/>
      <c r="Z53" s="6"/>
    </row>
    <row r="54" spans="5:26" ht="26.25">
      <c r="E54" s="6"/>
      <c r="Y54" s="6"/>
      <c r="Z54" s="6"/>
    </row>
    <row r="55" spans="5:26" ht="26.25">
      <c r="E55" s="6"/>
      <c r="Y55" s="6"/>
      <c r="Z55" s="6"/>
    </row>
    <row r="56" spans="5:26" ht="26.25">
      <c r="E56" s="6"/>
      <c r="Y56" s="6"/>
      <c r="Z56" s="6"/>
    </row>
    <row r="57" spans="5:26" ht="26.25">
      <c r="E57" s="6"/>
      <c r="Y57" s="6"/>
      <c r="Z57" s="6"/>
    </row>
    <row r="58" spans="5:26" ht="26.25">
      <c r="E58" s="6"/>
      <c r="Y58" s="6"/>
      <c r="Z58" s="6"/>
    </row>
    <row r="59" spans="5:26" ht="26.25">
      <c r="E59" s="6"/>
      <c r="Y59" s="6"/>
      <c r="Z59" s="6"/>
    </row>
    <row r="60" spans="5:26" ht="26.25">
      <c r="E60" s="6"/>
      <c r="Y60" s="6"/>
      <c r="Z60" s="6"/>
    </row>
    <row r="61" spans="5:26" ht="26.25">
      <c r="E61" s="6"/>
      <c r="Y61" s="6"/>
      <c r="Z61" s="6"/>
    </row>
    <row r="62" spans="5:26" ht="26.25">
      <c r="E62" s="6"/>
      <c r="Y62" s="6"/>
      <c r="Z62" s="6"/>
    </row>
    <row r="63" spans="5:26" ht="26.25">
      <c r="E63" s="6"/>
      <c r="Y63" s="6"/>
      <c r="Z63" s="6"/>
    </row>
    <row r="64" spans="5:26" ht="26.25">
      <c r="E64" s="6"/>
      <c r="Y64" s="6"/>
      <c r="Z64" s="6"/>
    </row>
    <row r="65" spans="5:26" ht="26.25">
      <c r="E65" s="6"/>
      <c r="Y65" s="6"/>
      <c r="Z65" s="6"/>
    </row>
    <row r="66" spans="5:26" ht="26.25">
      <c r="E66" s="6"/>
      <c r="Y66" s="6"/>
      <c r="Z66" s="6"/>
    </row>
    <row r="67" spans="5:26" ht="26.25">
      <c r="E67" s="6"/>
      <c r="Y67" s="6"/>
      <c r="Z67" s="6"/>
    </row>
    <row r="68" spans="5:26" ht="26.25">
      <c r="E68" s="6"/>
      <c r="Y68" s="6"/>
      <c r="Z68" s="6"/>
    </row>
    <row r="69" spans="5:26" ht="26.25">
      <c r="E69" s="6"/>
      <c r="Y69" s="6"/>
      <c r="Z69" s="6"/>
    </row>
    <row r="70" spans="5:26" ht="26.25">
      <c r="E70" s="6"/>
      <c r="Y70" s="6"/>
      <c r="Z70" s="6"/>
    </row>
    <row r="71" spans="5:26" ht="26.25">
      <c r="E71" s="6"/>
      <c r="Y71" s="6"/>
      <c r="Z71" s="6"/>
    </row>
    <row r="72" spans="5:26" ht="26.25">
      <c r="E72" s="6"/>
      <c r="Y72" s="6"/>
      <c r="Z72" s="6"/>
    </row>
    <row r="73" spans="5:26" ht="26.25">
      <c r="E73" s="6"/>
      <c r="Y73" s="6"/>
      <c r="Z73" s="6"/>
    </row>
    <row r="74" spans="5:26" ht="26.25">
      <c r="E74" s="6"/>
      <c r="Y74" s="6"/>
      <c r="Z74" s="6"/>
    </row>
    <row r="75" spans="5:26" ht="26.25">
      <c r="E75" s="6"/>
      <c r="Y75" s="6"/>
      <c r="Z75" s="6"/>
    </row>
    <row r="76" spans="5:26" ht="26.25">
      <c r="E76" s="6"/>
      <c r="Y76" s="6"/>
      <c r="Z76" s="6"/>
    </row>
    <row r="77" spans="5:26" ht="26.25">
      <c r="E77" s="6"/>
      <c r="Y77" s="6"/>
      <c r="Z77" s="6"/>
    </row>
    <row r="78" spans="5:26" ht="26.25">
      <c r="E78" s="6"/>
      <c r="Y78" s="6"/>
      <c r="Z78" s="6"/>
    </row>
    <row r="79" spans="5:26" ht="26.25">
      <c r="E79" s="6"/>
      <c r="Y79" s="6"/>
      <c r="Z79" s="6"/>
    </row>
    <row r="80" spans="5:26" ht="26.25">
      <c r="E80" s="6"/>
      <c r="Y80" s="6"/>
      <c r="Z80" s="6"/>
    </row>
    <row r="81" spans="5:26" ht="26.25">
      <c r="E81" s="6"/>
      <c r="Y81" s="6"/>
      <c r="Z81" s="6"/>
    </row>
    <row r="82" spans="5:26" ht="26.25">
      <c r="E82" s="6"/>
      <c r="Y82" s="6"/>
      <c r="Z82" s="6"/>
    </row>
    <row r="83" spans="5:26" ht="26.25">
      <c r="E83" s="6"/>
      <c r="Y83" s="6"/>
      <c r="Z83" s="6"/>
    </row>
    <row r="84" spans="5:26" ht="26.25">
      <c r="E84" s="6"/>
      <c r="Y84" s="6"/>
      <c r="Z84" s="6"/>
    </row>
    <row r="85" spans="5:26" ht="26.25">
      <c r="E85" s="6"/>
      <c r="Y85" s="6"/>
      <c r="Z85" s="6"/>
    </row>
    <row r="86" spans="5:26" ht="26.25">
      <c r="E86" s="6"/>
      <c r="Y86" s="6"/>
      <c r="Z86" s="6"/>
    </row>
    <row r="87" spans="5:26" ht="26.25">
      <c r="E87" s="6"/>
      <c r="Y87" s="6"/>
      <c r="Z87" s="6"/>
    </row>
    <row r="88" spans="5:26" ht="26.25">
      <c r="E88" s="6"/>
      <c r="Y88" s="6"/>
      <c r="Z88" s="6"/>
    </row>
    <row r="89" spans="5:26" ht="26.25">
      <c r="E89" s="6"/>
      <c r="Y89" s="6"/>
      <c r="Z89" s="6"/>
    </row>
    <row r="90" spans="5:26" ht="26.25">
      <c r="E90" s="6"/>
      <c r="Y90" s="6"/>
      <c r="Z90" s="6"/>
    </row>
    <row r="91" spans="25:26" ht="26.25">
      <c r="Y91" s="6"/>
      <c r="Z91" s="6"/>
    </row>
    <row r="92" spans="25:26" ht="26.25">
      <c r="Y92" s="6"/>
      <c r="Z92" s="6"/>
    </row>
    <row r="93" spans="25:26" ht="26.25">
      <c r="Y93" s="6"/>
      <c r="Z93" s="6"/>
    </row>
    <row r="94" spans="25:26" ht="26.25">
      <c r="Y94" s="6"/>
      <c r="Z94" s="6"/>
    </row>
    <row r="95" spans="25:26" ht="26.25">
      <c r="Y95" s="6"/>
      <c r="Z95" s="6"/>
    </row>
    <row r="96" spans="25:26" ht="26.25">
      <c r="Y96" s="6"/>
      <c r="Z96" s="6"/>
    </row>
    <row r="97" spans="25:26" ht="26.25">
      <c r="Y97" s="6"/>
      <c r="Z97" s="6"/>
    </row>
    <row r="98" spans="25:26" ht="26.25">
      <c r="Y98" s="6"/>
      <c r="Z98" s="6"/>
    </row>
    <row r="99" spans="25:26" ht="26.25">
      <c r="Y99" s="6"/>
      <c r="Z99" s="6"/>
    </row>
    <row r="100" spans="25:26" ht="26.25">
      <c r="Y100" s="6"/>
      <c r="Z100" s="6"/>
    </row>
    <row r="101" spans="25:26" ht="26.25">
      <c r="Y101" s="6"/>
      <c r="Z101" s="6"/>
    </row>
    <row r="102" spans="25:26" ht="26.25">
      <c r="Y102" s="6"/>
      <c r="Z102" s="6"/>
    </row>
    <row r="103" spans="25:26" ht="26.25">
      <c r="Y103" s="6"/>
      <c r="Z103" s="6"/>
    </row>
    <row r="104" spans="25:26" ht="26.25">
      <c r="Y104" s="6"/>
      <c r="Z104" s="6"/>
    </row>
    <row r="105" spans="25:26" ht="26.25">
      <c r="Y105" s="6"/>
      <c r="Z105" s="6"/>
    </row>
    <row r="106" spans="25:26" ht="26.25">
      <c r="Y106" s="6"/>
      <c r="Z106" s="6"/>
    </row>
    <row r="107" spans="25:26" ht="26.25">
      <c r="Y107" s="6"/>
      <c r="Z107" s="6"/>
    </row>
    <row r="108" spans="25:26" ht="26.25">
      <c r="Y108" s="6"/>
      <c r="Z108" s="6"/>
    </row>
    <row r="109" spans="25:26" ht="26.25">
      <c r="Y109" s="6"/>
      <c r="Z109" s="6"/>
    </row>
    <row r="110" spans="25:26" ht="26.25">
      <c r="Y110" s="6"/>
      <c r="Z110" s="6"/>
    </row>
    <row r="111" spans="25:26" ht="26.25">
      <c r="Y111" s="6"/>
      <c r="Z111" s="6"/>
    </row>
    <row r="112" spans="25:26" ht="26.25">
      <c r="Y112" s="6"/>
      <c r="Z112" s="6"/>
    </row>
    <row r="113" spans="25:26" ht="26.25">
      <c r="Y113" s="6"/>
      <c r="Z113" s="6"/>
    </row>
    <row r="114" spans="25:26" ht="26.25">
      <c r="Y114" s="6"/>
      <c r="Z114" s="6"/>
    </row>
    <row r="115" spans="25:26" ht="26.25">
      <c r="Y115" s="6"/>
      <c r="Z115" s="6"/>
    </row>
    <row r="116" spans="25:26" ht="26.25">
      <c r="Y116" s="6"/>
      <c r="Z116" s="6"/>
    </row>
    <row r="117" spans="25:26" ht="26.25">
      <c r="Y117" s="6"/>
      <c r="Z117" s="6"/>
    </row>
    <row r="118" spans="25:26" ht="26.25">
      <c r="Y118" s="6"/>
      <c r="Z118" s="6"/>
    </row>
    <row r="119" spans="25:26" ht="26.25">
      <c r="Y119" s="6"/>
      <c r="Z119" s="6"/>
    </row>
    <row r="120" spans="25:26" ht="26.25">
      <c r="Y120" s="6"/>
      <c r="Z120" s="6"/>
    </row>
    <row r="121" spans="25:26" ht="26.25">
      <c r="Y121" s="6"/>
      <c r="Z121" s="6"/>
    </row>
    <row r="122" spans="25:26" ht="26.25">
      <c r="Y122" s="6"/>
      <c r="Z122" s="6"/>
    </row>
    <row r="123" spans="25:26" ht="26.25">
      <c r="Y123" s="6"/>
      <c r="Z123" s="6"/>
    </row>
    <row r="124" spans="25:26" ht="26.25">
      <c r="Y124" s="6"/>
      <c r="Z124" s="6"/>
    </row>
    <row r="125" spans="25:26" ht="26.25">
      <c r="Y125" s="6"/>
      <c r="Z125" s="6"/>
    </row>
    <row r="126" spans="25:26" ht="26.25">
      <c r="Y126" s="6"/>
      <c r="Z126" s="6"/>
    </row>
    <row r="127" spans="25:26" ht="26.25">
      <c r="Y127" s="6"/>
      <c r="Z127" s="6"/>
    </row>
    <row r="128" spans="25:26" ht="26.25">
      <c r="Y128" s="6"/>
      <c r="Z128" s="6"/>
    </row>
    <row r="129" spans="25:26" ht="26.25">
      <c r="Y129" s="6"/>
      <c r="Z129" s="6"/>
    </row>
    <row r="130" spans="25:26" ht="26.25">
      <c r="Y130" s="6"/>
      <c r="Z130" s="6"/>
    </row>
    <row r="131" spans="25:26" ht="26.25">
      <c r="Y131" s="6"/>
      <c r="Z131" s="6"/>
    </row>
    <row r="132" spans="25:26" ht="26.25">
      <c r="Y132" s="6"/>
      <c r="Z132" s="6"/>
    </row>
    <row r="133" spans="25:26" ht="26.25">
      <c r="Y133" s="6"/>
      <c r="Z133" s="6"/>
    </row>
    <row r="134" spans="25:26" ht="26.25">
      <c r="Y134" s="6"/>
      <c r="Z134" s="6"/>
    </row>
    <row r="135" spans="25:26" ht="26.25">
      <c r="Y135" s="6"/>
      <c r="Z135" s="6"/>
    </row>
    <row r="136" spans="25:26" ht="26.25">
      <c r="Y136" s="6"/>
      <c r="Z136" s="6"/>
    </row>
    <row r="137" spans="25:26" ht="26.25">
      <c r="Y137" s="6"/>
      <c r="Z137" s="6"/>
    </row>
    <row r="138" spans="25:26" ht="26.25">
      <c r="Y138" s="6"/>
      <c r="Z138" s="6"/>
    </row>
    <row r="139" spans="25:26" ht="26.25">
      <c r="Y139" s="6"/>
      <c r="Z139" s="6"/>
    </row>
    <row r="140" spans="25:26" ht="26.25">
      <c r="Y140" s="6"/>
      <c r="Z140" s="6"/>
    </row>
    <row r="141" spans="25:26" ht="26.25">
      <c r="Y141" s="6"/>
      <c r="Z141" s="6"/>
    </row>
    <row r="142" spans="25:26" ht="26.25">
      <c r="Y142" s="6"/>
      <c r="Z142" s="6"/>
    </row>
    <row r="143" spans="25:26" ht="26.25">
      <c r="Y143" s="6"/>
      <c r="Z143" s="6"/>
    </row>
    <row r="144" spans="25:26" ht="26.25">
      <c r="Y144" s="6"/>
      <c r="Z144" s="6"/>
    </row>
    <row r="145" spans="25:26" ht="26.25">
      <c r="Y145" s="6"/>
      <c r="Z145" s="6"/>
    </row>
    <row r="146" spans="25:26" ht="26.25">
      <c r="Y146" s="6"/>
      <c r="Z146" s="6"/>
    </row>
    <row r="147" spans="25:26" ht="26.25">
      <c r="Y147" s="6"/>
      <c r="Z147" s="6"/>
    </row>
    <row r="148" spans="25:26" ht="26.25">
      <c r="Y148" s="6"/>
      <c r="Z148" s="6"/>
    </row>
    <row r="149" spans="25:26" ht="26.25">
      <c r="Y149" s="6"/>
      <c r="Z149" s="6"/>
    </row>
    <row r="150" spans="25:26" ht="26.25">
      <c r="Y150" s="6"/>
      <c r="Z150" s="6"/>
    </row>
    <row r="151" spans="25:26" ht="26.25">
      <c r="Y151" s="6"/>
      <c r="Z151" s="6"/>
    </row>
    <row r="152" spans="25:26" ht="26.25">
      <c r="Y152" s="6"/>
      <c r="Z152" s="6"/>
    </row>
    <row r="153" spans="25:26" ht="26.25">
      <c r="Y153" s="6"/>
      <c r="Z153" s="6"/>
    </row>
    <row r="154" spans="25:26" ht="26.25">
      <c r="Y154" s="6"/>
      <c r="Z154" s="6"/>
    </row>
    <row r="155" spans="25:26" ht="26.25">
      <c r="Y155" s="6"/>
      <c r="Z155" s="6"/>
    </row>
    <row r="156" spans="25:26" ht="26.25">
      <c r="Y156" s="6"/>
      <c r="Z156" s="6"/>
    </row>
    <row r="157" spans="25:26" ht="26.25">
      <c r="Y157" s="6"/>
      <c r="Z157" s="6"/>
    </row>
    <row r="158" spans="25:26" ht="26.25">
      <c r="Y158" s="6"/>
      <c r="Z158" s="6"/>
    </row>
    <row r="159" spans="25:26" ht="26.25">
      <c r="Y159" s="6"/>
      <c r="Z159" s="6"/>
    </row>
    <row r="160" spans="25:26" ht="26.25">
      <c r="Y160" s="6"/>
      <c r="Z160" s="6"/>
    </row>
    <row r="161" spans="25:26" ht="26.25">
      <c r="Y161" s="6"/>
      <c r="Z161" s="6"/>
    </row>
    <row r="162" spans="25:26" ht="26.25">
      <c r="Y162" s="6"/>
      <c r="Z162" s="6"/>
    </row>
    <row r="163" spans="25:26" ht="26.25">
      <c r="Y163" s="6"/>
      <c r="Z163" s="6"/>
    </row>
    <row r="164" spans="25:26" ht="26.25">
      <c r="Y164" s="6"/>
      <c r="Z164" s="6"/>
    </row>
    <row r="165" spans="25:26" ht="26.25">
      <c r="Y165" s="6"/>
      <c r="Z165" s="6"/>
    </row>
    <row r="166" spans="25:26" ht="26.25">
      <c r="Y166" s="6"/>
      <c r="Z166" s="6"/>
    </row>
    <row r="167" spans="25:26" ht="26.25">
      <c r="Y167" s="6"/>
      <c r="Z167" s="6"/>
    </row>
    <row r="168" spans="25:26" ht="26.25">
      <c r="Y168" s="6"/>
      <c r="Z168" s="6"/>
    </row>
    <row r="169" spans="25:26" ht="26.25">
      <c r="Y169" s="6"/>
      <c r="Z169" s="6"/>
    </row>
    <row r="170" spans="25:26" ht="26.25">
      <c r="Y170" s="6"/>
      <c r="Z170" s="6"/>
    </row>
    <row r="171" spans="25:26" ht="26.25">
      <c r="Y171" s="6"/>
      <c r="Z171" s="6"/>
    </row>
    <row r="172" spans="25:26" ht="26.25">
      <c r="Y172" s="6"/>
      <c r="Z172" s="6"/>
    </row>
    <row r="173" spans="25:26" ht="26.25">
      <c r="Y173" s="6"/>
      <c r="Z173" s="6"/>
    </row>
    <row r="174" spans="25:26" ht="26.25">
      <c r="Y174" s="6"/>
      <c r="Z174" s="6"/>
    </row>
    <row r="175" spans="25:26" ht="26.25">
      <c r="Y175" s="6"/>
      <c r="Z175" s="6"/>
    </row>
    <row r="176" spans="25:26" ht="26.25">
      <c r="Y176" s="6"/>
      <c r="Z176" s="6"/>
    </row>
    <row r="177" spans="25:26" ht="26.25">
      <c r="Y177" s="6"/>
      <c r="Z177" s="6"/>
    </row>
    <row r="178" spans="25:26" ht="26.25">
      <c r="Y178" s="6"/>
      <c r="Z178" s="6"/>
    </row>
    <row r="179" spans="25:26" ht="26.25">
      <c r="Y179" s="6"/>
      <c r="Z179" s="6"/>
    </row>
    <row r="180" spans="25:26" ht="26.25">
      <c r="Y180" s="6"/>
      <c r="Z180" s="6"/>
    </row>
    <row r="181" spans="25:26" ht="26.25">
      <c r="Y181" s="6"/>
      <c r="Z181" s="6"/>
    </row>
    <row r="182" spans="25:26" ht="26.25">
      <c r="Y182" s="6"/>
      <c r="Z182" s="6"/>
    </row>
    <row r="183" spans="25:26" ht="26.25">
      <c r="Y183" s="6"/>
      <c r="Z183" s="6"/>
    </row>
    <row r="184" spans="25:26" ht="26.25">
      <c r="Y184" s="6"/>
      <c r="Z184" s="6"/>
    </row>
    <row r="185" spans="25:26" ht="26.25">
      <c r="Y185" s="6"/>
      <c r="Z185" s="6"/>
    </row>
    <row r="186" spans="25:26" ht="26.25">
      <c r="Y186" s="6"/>
      <c r="Z186" s="6"/>
    </row>
    <row r="187" spans="25:26" ht="26.25">
      <c r="Y187" s="6"/>
      <c r="Z187" s="6"/>
    </row>
    <row r="188" spans="25:26" ht="26.25">
      <c r="Y188" s="6"/>
      <c r="Z188" s="6"/>
    </row>
    <row r="189" spans="25:26" ht="26.25">
      <c r="Y189" s="6"/>
      <c r="Z189" s="6"/>
    </row>
    <row r="190" spans="25:26" ht="26.25">
      <c r="Y190" s="6"/>
      <c r="Z190" s="6"/>
    </row>
    <row r="191" spans="25:26" ht="26.25">
      <c r="Y191" s="6"/>
      <c r="Z191" s="6"/>
    </row>
    <row r="192" spans="25:26" ht="26.25">
      <c r="Y192" s="6"/>
      <c r="Z192" s="6"/>
    </row>
    <row r="193" spans="25:26" ht="26.25">
      <c r="Y193" s="6"/>
      <c r="Z193" s="6"/>
    </row>
    <row r="194" spans="25:26" ht="26.25">
      <c r="Y194" s="6"/>
      <c r="Z194" s="6"/>
    </row>
    <row r="195" spans="25:26" ht="26.25">
      <c r="Y195" s="6"/>
      <c r="Z195" s="6"/>
    </row>
    <row r="196" spans="25:26" ht="26.25">
      <c r="Y196" s="6"/>
      <c r="Z196" s="6"/>
    </row>
    <row r="197" spans="25:26" ht="26.25">
      <c r="Y197" s="6"/>
      <c r="Z197" s="6"/>
    </row>
    <row r="198" spans="25:26" ht="26.25">
      <c r="Y198" s="6"/>
      <c r="Z198" s="6"/>
    </row>
    <row r="199" spans="25:26" ht="26.25">
      <c r="Y199" s="6"/>
      <c r="Z199" s="6"/>
    </row>
    <row r="200" spans="25:26" ht="26.25">
      <c r="Y200" s="6"/>
      <c r="Z200" s="6"/>
    </row>
    <row r="201" spans="25:26" ht="26.25">
      <c r="Y201" s="6"/>
      <c r="Z201" s="6"/>
    </row>
    <row r="202" spans="25:26" ht="26.25">
      <c r="Y202" s="6"/>
      <c r="Z202" s="6"/>
    </row>
    <row r="203" spans="25:26" ht="26.25">
      <c r="Y203" s="6"/>
      <c r="Z203" s="6"/>
    </row>
    <row r="204" spans="25:26" ht="26.25">
      <c r="Y204" s="6"/>
      <c r="Z204" s="6"/>
    </row>
    <row r="205" spans="25:26" ht="26.25">
      <c r="Y205" s="6"/>
      <c r="Z205" s="6"/>
    </row>
    <row r="206" spans="25:26" ht="26.25">
      <c r="Y206" s="6"/>
      <c r="Z206" s="6"/>
    </row>
    <row r="207" spans="25:26" ht="26.25">
      <c r="Y207" s="6"/>
      <c r="Z207" s="6"/>
    </row>
    <row r="208" spans="25:26" ht="26.25">
      <c r="Y208" s="6"/>
      <c r="Z208" s="6"/>
    </row>
    <row r="209" spans="25:26" ht="26.25">
      <c r="Y209" s="6"/>
      <c r="Z209" s="6"/>
    </row>
    <row r="210" spans="25:26" ht="26.25">
      <c r="Y210" s="6"/>
      <c r="Z210" s="6"/>
    </row>
    <row r="211" spans="25:26" ht="26.25">
      <c r="Y211" s="6"/>
      <c r="Z211" s="6"/>
    </row>
    <row r="212" spans="25:26" ht="26.25">
      <c r="Y212" s="6"/>
      <c r="Z212" s="6"/>
    </row>
    <row r="213" spans="25:26" ht="26.25">
      <c r="Y213" s="6"/>
      <c r="Z213" s="6"/>
    </row>
    <row r="214" spans="25:26" ht="26.25">
      <c r="Y214" s="6"/>
      <c r="Z214" s="6"/>
    </row>
    <row r="215" spans="25:26" ht="26.25">
      <c r="Y215" s="6"/>
      <c r="Z215" s="6"/>
    </row>
    <row r="216" spans="25:26" ht="26.25">
      <c r="Y216" s="6"/>
      <c r="Z216" s="6"/>
    </row>
    <row r="217" spans="25:26" ht="26.25">
      <c r="Y217" s="6"/>
      <c r="Z217" s="6"/>
    </row>
    <row r="218" spans="25:26" ht="26.25">
      <c r="Y218" s="6"/>
      <c r="Z218" s="6"/>
    </row>
    <row r="219" spans="25:26" ht="26.25">
      <c r="Y219" s="6"/>
      <c r="Z219" s="6"/>
    </row>
    <row r="220" spans="25:26" ht="26.25">
      <c r="Y220" s="6"/>
      <c r="Z220" s="6"/>
    </row>
    <row r="221" spans="25:26" ht="26.25">
      <c r="Y221" s="6"/>
      <c r="Z221" s="6"/>
    </row>
    <row r="222" spans="25:26" ht="26.25">
      <c r="Y222" s="6"/>
      <c r="Z222" s="6"/>
    </row>
    <row r="223" spans="25:26" ht="26.25">
      <c r="Y223" s="6"/>
      <c r="Z223" s="6"/>
    </row>
    <row r="224" spans="25:26" ht="26.25">
      <c r="Y224" s="6"/>
      <c r="Z224" s="6"/>
    </row>
    <row r="225" spans="25:26" ht="26.25">
      <c r="Y225" s="6"/>
      <c r="Z225" s="6"/>
    </row>
    <row r="226" spans="25:26" ht="26.25">
      <c r="Y226" s="6"/>
      <c r="Z226" s="6"/>
    </row>
    <row r="227" spans="25:26" ht="26.25">
      <c r="Y227" s="6"/>
      <c r="Z227" s="6"/>
    </row>
    <row r="228" spans="25:26" ht="26.25">
      <c r="Y228" s="6"/>
      <c r="Z228" s="6"/>
    </row>
    <row r="229" spans="25:26" ht="26.25">
      <c r="Y229" s="6"/>
      <c r="Z229" s="6"/>
    </row>
    <row r="230" spans="25:26" ht="26.25">
      <c r="Y230" s="6"/>
      <c r="Z230" s="6"/>
    </row>
    <row r="231" spans="25:26" ht="26.25">
      <c r="Y231" s="6"/>
      <c r="Z231" s="6"/>
    </row>
    <row r="232" spans="25:26" ht="26.25">
      <c r="Y232" s="6"/>
      <c r="Z232" s="6"/>
    </row>
    <row r="233" spans="25:26" ht="26.25">
      <c r="Y233" s="6"/>
      <c r="Z233" s="6"/>
    </row>
    <row r="234" spans="25:26" ht="26.25">
      <c r="Y234" s="6"/>
      <c r="Z234" s="6"/>
    </row>
    <row r="235" spans="25:26" ht="26.25">
      <c r="Y235" s="6"/>
      <c r="Z235" s="6"/>
    </row>
    <row r="236" spans="25:26" ht="26.25">
      <c r="Y236" s="6"/>
      <c r="Z236" s="6"/>
    </row>
    <row r="237" spans="25:26" ht="26.25">
      <c r="Y237" s="6"/>
      <c r="Z237" s="6"/>
    </row>
    <row r="238" spans="25:26" ht="26.25">
      <c r="Y238" s="6"/>
      <c r="Z238" s="6"/>
    </row>
    <row r="239" spans="25:26" ht="26.25">
      <c r="Y239" s="6"/>
      <c r="Z239" s="6"/>
    </row>
    <row r="240" spans="25:26" ht="26.25">
      <c r="Y240" s="6"/>
      <c r="Z240" s="6"/>
    </row>
    <row r="241" spans="25:26" ht="26.25">
      <c r="Y241" s="6"/>
      <c r="Z241" s="6"/>
    </row>
    <row r="242" spans="25:26" ht="26.25">
      <c r="Y242" s="6"/>
      <c r="Z242" s="6"/>
    </row>
    <row r="243" spans="25:26" ht="26.25">
      <c r="Y243" s="6"/>
      <c r="Z243" s="6"/>
    </row>
    <row r="244" spans="25:26" ht="26.25">
      <c r="Y244" s="6"/>
      <c r="Z244" s="6"/>
    </row>
    <row r="245" spans="25:26" ht="26.25">
      <c r="Y245" s="6"/>
      <c r="Z245" s="6"/>
    </row>
    <row r="246" spans="25:26" ht="26.25">
      <c r="Y246" s="6"/>
      <c r="Z246" s="6"/>
    </row>
    <row r="247" spans="25:26" ht="26.25">
      <c r="Y247" s="6"/>
      <c r="Z247" s="6"/>
    </row>
    <row r="248" spans="25:26" ht="26.25">
      <c r="Y248" s="6"/>
      <c r="Z248" s="6"/>
    </row>
    <row r="249" spans="25:26" ht="26.25">
      <c r="Y249" s="6"/>
      <c r="Z249" s="6"/>
    </row>
    <row r="250" spans="25:26" ht="26.25">
      <c r="Y250" s="6"/>
      <c r="Z250" s="6"/>
    </row>
    <row r="251" spans="25:26" ht="26.25">
      <c r="Y251" s="6"/>
      <c r="Z251" s="6"/>
    </row>
    <row r="252" spans="25:26" ht="26.25">
      <c r="Y252" s="6"/>
      <c r="Z252" s="6"/>
    </row>
    <row r="253" spans="25:26" ht="26.25">
      <c r="Y253" s="6"/>
      <c r="Z253" s="6"/>
    </row>
    <row r="254" spans="25:26" ht="26.25">
      <c r="Y254" s="6"/>
      <c r="Z254" s="6"/>
    </row>
    <row r="255" spans="25:26" ht="26.25">
      <c r="Y255" s="6"/>
      <c r="Z255" s="6"/>
    </row>
    <row r="256" spans="25:26" ht="26.25">
      <c r="Y256" s="6"/>
      <c r="Z256" s="6"/>
    </row>
    <row r="257" spans="25:26" ht="26.25">
      <c r="Y257" s="6"/>
      <c r="Z257" s="6"/>
    </row>
    <row r="258" spans="25:26" ht="26.25">
      <c r="Y258" s="6"/>
      <c r="Z258" s="6"/>
    </row>
    <row r="259" spans="25:26" ht="26.25">
      <c r="Y259" s="6"/>
      <c r="Z259" s="6"/>
    </row>
    <row r="260" spans="25:26" ht="26.25">
      <c r="Y260" s="6"/>
      <c r="Z260" s="6"/>
    </row>
    <row r="261" spans="25:26" ht="26.25">
      <c r="Y261" s="6"/>
      <c r="Z261" s="6"/>
    </row>
    <row r="262" spans="25:26" ht="26.25">
      <c r="Y262" s="6"/>
      <c r="Z262" s="6"/>
    </row>
    <row r="263" spans="25:26" ht="26.25">
      <c r="Y263" s="6"/>
      <c r="Z263" s="6"/>
    </row>
    <row r="264" spans="25:26" ht="26.25">
      <c r="Y264" s="6"/>
      <c r="Z264" s="6"/>
    </row>
    <row r="265" spans="25:26" ht="26.25">
      <c r="Y265" s="6"/>
      <c r="Z265" s="6"/>
    </row>
    <row r="266" spans="25:26" ht="26.25">
      <c r="Y266" s="6"/>
      <c r="Z266" s="6"/>
    </row>
    <row r="267" spans="25:26" ht="26.25">
      <c r="Y267" s="6"/>
      <c r="Z267" s="6"/>
    </row>
    <row r="268" spans="25:26" ht="26.25">
      <c r="Y268" s="6"/>
      <c r="Z268" s="6"/>
    </row>
    <row r="269" spans="25:26" ht="26.25">
      <c r="Y269" s="6"/>
      <c r="Z269" s="6"/>
    </row>
    <row r="270" spans="25:26" ht="26.25">
      <c r="Y270" s="6"/>
      <c r="Z270" s="6"/>
    </row>
    <row r="271" spans="25:26" ht="26.25">
      <c r="Y271" s="6"/>
      <c r="Z271" s="6"/>
    </row>
    <row r="272" spans="25:26" ht="26.25">
      <c r="Y272" s="6"/>
      <c r="Z272" s="6"/>
    </row>
    <row r="273" spans="25:26" ht="26.25">
      <c r="Y273" s="6"/>
      <c r="Z273" s="6"/>
    </row>
    <row r="274" spans="25:26" ht="26.25">
      <c r="Y274" s="6"/>
      <c r="Z274" s="6"/>
    </row>
    <row r="275" spans="25:26" ht="26.25">
      <c r="Y275" s="6"/>
      <c r="Z275" s="6"/>
    </row>
    <row r="276" spans="25:26" ht="26.25">
      <c r="Y276" s="6"/>
      <c r="Z276" s="6"/>
    </row>
    <row r="277" spans="25:26" ht="26.25">
      <c r="Y277" s="6"/>
      <c r="Z277" s="6"/>
    </row>
    <row r="278" spans="25:26" ht="26.25">
      <c r="Y278" s="6"/>
      <c r="Z278" s="6"/>
    </row>
    <row r="279" spans="25:26" ht="26.25">
      <c r="Y279" s="6"/>
      <c r="Z279" s="6"/>
    </row>
    <row r="280" spans="25:26" ht="26.25">
      <c r="Y280" s="6"/>
      <c r="Z280" s="6"/>
    </row>
    <row r="281" spans="25:26" ht="26.25">
      <c r="Y281" s="6"/>
      <c r="Z281" s="6"/>
    </row>
    <row r="282" spans="25:26" ht="26.25">
      <c r="Y282" s="6"/>
      <c r="Z282" s="6"/>
    </row>
    <row r="283" spans="25:26" ht="26.25">
      <c r="Y283" s="6"/>
      <c r="Z283" s="6"/>
    </row>
    <row r="284" spans="25:26" ht="26.25">
      <c r="Y284" s="6"/>
      <c r="Z284" s="6"/>
    </row>
    <row r="285" spans="25:26" ht="26.25">
      <c r="Y285" s="6"/>
      <c r="Z285" s="6"/>
    </row>
    <row r="286" spans="25:26" ht="26.25">
      <c r="Y286" s="6"/>
      <c r="Z286" s="6"/>
    </row>
    <row r="287" spans="25:26" ht="26.25">
      <c r="Y287" s="6"/>
      <c r="Z287" s="6"/>
    </row>
    <row r="288" spans="25:26" ht="26.25">
      <c r="Y288" s="6"/>
      <c r="Z288" s="6"/>
    </row>
    <row r="289" spans="25:26" ht="26.25">
      <c r="Y289" s="6"/>
      <c r="Z289" s="6"/>
    </row>
    <row r="290" spans="25:26" ht="26.25">
      <c r="Y290" s="6"/>
      <c r="Z290" s="6"/>
    </row>
    <row r="291" spans="25:26" ht="26.25">
      <c r="Y291" s="6"/>
      <c r="Z291" s="6"/>
    </row>
    <row r="292" spans="25:26" ht="26.25">
      <c r="Y292" s="6"/>
      <c r="Z292" s="6"/>
    </row>
    <row r="293" spans="25:26" ht="26.25">
      <c r="Y293" s="6"/>
      <c r="Z293" s="6"/>
    </row>
    <row r="294" spans="25:26" ht="26.25">
      <c r="Y294" s="6"/>
      <c r="Z294" s="6"/>
    </row>
    <row r="295" spans="25:26" ht="26.25">
      <c r="Y295" s="6"/>
      <c r="Z295" s="6"/>
    </row>
    <row r="296" spans="25:26" ht="26.25">
      <c r="Y296" s="6"/>
      <c r="Z296" s="6"/>
    </row>
    <row r="297" spans="25:26" ht="26.25">
      <c r="Y297" s="6"/>
      <c r="Z297" s="6"/>
    </row>
    <row r="298" spans="25:26" ht="26.25">
      <c r="Y298" s="6"/>
      <c r="Z298" s="6"/>
    </row>
    <row r="299" spans="25:26" ht="26.25">
      <c r="Y299" s="6"/>
      <c r="Z299" s="6"/>
    </row>
    <row r="300" spans="25:26" ht="26.25">
      <c r="Y300" s="6"/>
      <c r="Z300" s="6"/>
    </row>
    <row r="301" spans="25:26" ht="26.25">
      <c r="Y301" s="6"/>
      <c r="Z301" s="6"/>
    </row>
    <row r="302" spans="25:26" ht="26.25">
      <c r="Y302" s="6"/>
      <c r="Z302" s="6"/>
    </row>
    <row r="303" spans="25:26" ht="26.25">
      <c r="Y303" s="6"/>
      <c r="Z303" s="6"/>
    </row>
    <row r="304" spans="25:26" ht="26.25">
      <c r="Y304" s="6"/>
      <c r="Z304" s="6"/>
    </row>
    <row r="305" spans="25:26" ht="26.25">
      <c r="Y305" s="6"/>
      <c r="Z305" s="6"/>
    </row>
    <row r="306" spans="25:26" ht="26.25">
      <c r="Y306" s="6"/>
      <c r="Z306" s="6"/>
    </row>
    <row r="307" spans="25:26" ht="26.25">
      <c r="Y307" s="6"/>
      <c r="Z307" s="6"/>
    </row>
    <row r="308" spans="25:26" ht="26.25">
      <c r="Y308" s="6"/>
      <c r="Z308" s="6"/>
    </row>
    <row r="309" spans="25:26" ht="26.25">
      <c r="Y309" s="6"/>
      <c r="Z309" s="6"/>
    </row>
    <row r="310" spans="25:26" ht="26.25">
      <c r="Y310" s="6"/>
      <c r="Z310" s="6"/>
    </row>
    <row r="311" spans="25:26" ht="26.25">
      <c r="Y311" s="6"/>
      <c r="Z311" s="6"/>
    </row>
    <row r="312" spans="25:26" ht="26.25">
      <c r="Y312" s="6"/>
      <c r="Z312" s="6"/>
    </row>
    <row r="313" spans="25:26" ht="26.25">
      <c r="Y313" s="6"/>
      <c r="Z313" s="6"/>
    </row>
    <row r="314" spans="25:26" ht="26.25">
      <c r="Y314" s="6"/>
      <c r="Z314" s="6"/>
    </row>
    <row r="315" spans="25:26" ht="26.25">
      <c r="Y315" s="6"/>
      <c r="Z315" s="6"/>
    </row>
    <row r="316" spans="25:26" ht="26.25">
      <c r="Y316" s="6"/>
      <c r="Z316" s="6"/>
    </row>
    <row r="317" spans="25:26" ht="26.25">
      <c r="Y317" s="6"/>
      <c r="Z317" s="6"/>
    </row>
    <row r="318" spans="25:26" ht="26.25">
      <c r="Y318" s="6"/>
      <c r="Z318" s="6"/>
    </row>
    <row r="319" spans="25:26" ht="26.25">
      <c r="Y319" s="6"/>
      <c r="Z319" s="6"/>
    </row>
    <row r="320" spans="25:26" ht="26.25">
      <c r="Y320" s="6"/>
      <c r="Z320" s="6"/>
    </row>
    <row r="321" spans="25:26" ht="26.25">
      <c r="Y321" s="6"/>
      <c r="Z321" s="6"/>
    </row>
    <row r="322" spans="25:26" ht="26.25">
      <c r="Y322" s="6"/>
      <c r="Z322" s="6"/>
    </row>
    <row r="323" spans="25:26" ht="26.25">
      <c r="Y323" s="6"/>
      <c r="Z323" s="6"/>
    </row>
    <row r="324" spans="25:26" ht="26.25">
      <c r="Y324" s="6"/>
      <c r="Z324" s="6"/>
    </row>
    <row r="325" spans="25:26" ht="26.25">
      <c r="Y325" s="6"/>
      <c r="Z325" s="6"/>
    </row>
    <row r="326" spans="25:26" ht="26.25">
      <c r="Y326" s="6"/>
      <c r="Z326" s="6"/>
    </row>
    <row r="327" spans="25:26" ht="26.25">
      <c r="Y327" s="6"/>
      <c r="Z327" s="6"/>
    </row>
    <row r="328" spans="25:26" ht="26.25">
      <c r="Y328" s="6"/>
      <c r="Z328" s="6"/>
    </row>
    <row r="329" spans="25:26" ht="26.25">
      <c r="Y329" s="6"/>
      <c r="Z329" s="6"/>
    </row>
    <row r="330" spans="25:26" ht="26.25">
      <c r="Y330" s="6"/>
      <c r="Z330" s="6"/>
    </row>
    <row r="331" spans="25:26" ht="26.25">
      <c r="Y331" s="6"/>
      <c r="Z331" s="6"/>
    </row>
    <row r="332" spans="25:26" ht="26.25">
      <c r="Y332" s="6"/>
      <c r="Z332" s="6"/>
    </row>
    <row r="333" spans="25:26" ht="26.25">
      <c r="Y333" s="6"/>
      <c r="Z333" s="6"/>
    </row>
    <row r="334" spans="25:26" ht="26.25">
      <c r="Y334" s="6"/>
      <c r="Z334" s="6"/>
    </row>
    <row r="335" spans="25:26" ht="26.25">
      <c r="Y335" s="6"/>
      <c r="Z335" s="6"/>
    </row>
    <row r="336" spans="25:26" ht="26.25">
      <c r="Y336" s="6"/>
      <c r="Z336" s="6"/>
    </row>
    <row r="337" spans="25:26" ht="26.25">
      <c r="Y337" s="6"/>
      <c r="Z337" s="6"/>
    </row>
    <row r="338" spans="25:26" ht="26.25">
      <c r="Y338" s="6"/>
      <c r="Z338" s="6"/>
    </row>
    <row r="339" spans="25:26" ht="26.25">
      <c r="Y339" s="6"/>
      <c r="Z339" s="6"/>
    </row>
    <row r="340" spans="25:26" ht="26.25">
      <c r="Y340" s="6"/>
      <c r="Z340" s="6"/>
    </row>
    <row r="341" spans="25:26" ht="26.25">
      <c r="Y341" s="6"/>
      <c r="Z341" s="6"/>
    </row>
    <row r="342" spans="25:26" ht="26.25">
      <c r="Y342" s="6"/>
      <c r="Z342" s="6"/>
    </row>
    <row r="343" spans="25:26" ht="26.25">
      <c r="Y343" s="6"/>
      <c r="Z343" s="6"/>
    </row>
    <row r="344" spans="25:26" ht="26.25">
      <c r="Y344" s="6"/>
      <c r="Z344" s="6"/>
    </row>
    <row r="345" spans="25:26" ht="26.25">
      <c r="Y345" s="6"/>
      <c r="Z345" s="6"/>
    </row>
    <row r="346" spans="25:26" ht="26.25">
      <c r="Y346" s="6"/>
      <c r="Z346" s="6"/>
    </row>
    <row r="347" spans="25:26" ht="26.25">
      <c r="Y347" s="6"/>
      <c r="Z347" s="6"/>
    </row>
    <row r="348" spans="25:26" ht="26.25">
      <c r="Y348" s="6"/>
      <c r="Z348" s="6"/>
    </row>
    <row r="349" spans="25:26" ht="26.25">
      <c r="Y349" s="6"/>
      <c r="Z349" s="6"/>
    </row>
    <row r="350" spans="25:26" ht="26.25">
      <c r="Y350" s="6"/>
      <c r="Z350" s="6"/>
    </row>
    <row r="351" spans="25:26" ht="26.25">
      <c r="Y351" s="6"/>
      <c r="Z351" s="6"/>
    </row>
    <row r="352" spans="25:26" ht="26.25">
      <c r="Y352" s="6"/>
      <c r="Z352" s="6"/>
    </row>
    <row r="353" spans="25:26" ht="26.25">
      <c r="Y353" s="6"/>
      <c r="Z353" s="6"/>
    </row>
    <row r="354" spans="25:26" ht="26.25">
      <c r="Y354" s="6"/>
      <c r="Z354" s="6"/>
    </row>
    <row r="355" spans="25:26" ht="26.25">
      <c r="Y355" s="6"/>
      <c r="Z355" s="6"/>
    </row>
    <row r="356" spans="25:26" ht="26.25">
      <c r="Y356" s="6"/>
      <c r="Z356" s="6"/>
    </row>
    <row r="357" spans="25:26" ht="26.25">
      <c r="Y357" s="6"/>
      <c r="Z357" s="6"/>
    </row>
    <row r="358" spans="25:26" ht="26.25">
      <c r="Y358" s="6"/>
      <c r="Z358" s="6"/>
    </row>
    <row r="359" spans="25:26" ht="26.25">
      <c r="Y359" s="6"/>
      <c r="Z359" s="6"/>
    </row>
    <row r="360" spans="25:26" ht="26.25">
      <c r="Y360" s="6"/>
      <c r="Z360" s="6"/>
    </row>
    <row r="361" spans="25:26" ht="26.25">
      <c r="Y361" s="6"/>
      <c r="Z361" s="6"/>
    </row>
    <row r="362" spans="25:26" ht="26.25">
      <c r="Y362" s="6"/>
      <c r="Z362" s="6"/>
    </row>
    <row r="363" spans="25:26" ht="26.25">
      <c r="Y363" s="6"/>
      <c r="Z363" s="6"/>
    </row>
    <row r="364" spans="25:26" ht="26.25">
      <c r="Y364" s="6"/>
      <c r="Z364" s="6"/>
    </row>
    <row r="365" spans="25:26" ht="26.25">
      <c r="Y365" s="6"/>
      <c r="Z365" s="6"/>
    </row>
    <row r="366" spans="25:26" ht="26.25">
      <c r="Y366" s="6"/>
      <c r="Z366" s="6"/>
    </row>
    <row r="367" spans="25:26" ht="26.25">
      <c r="Y367" s="6"/>
      <c r="Z367" s="6"/>
    </row>
    <row r="368" spans="25:26" ht="26.25">
      <c r="Y368" s="6"/>
      <c r="Z368" s="6"/>
    </row>
    <row r="369" spans="25:26" ht="26.25">
      <c r="Y369" s="6"/>
      <c r="Z369" s="6"/>
    </row>
    <row r="370" spans="25:26" ht="26.25">
      <c r="Y370" s="6"/>
      <c r="Z370" s="6"/>
    </row>
    <row r="371" spans="25:26" ht="26.25">
      <c r="Y371" s="6"/>
      <c r="Z371" s="6"/>
    </row>
    <row r="372" spans="25:26" ht="26.25">
      <c r="Y372" s="6"/>
      <c r="Z372" s="6"/>
    </row>
    <row r="373" spans="25:26" ht="26.25">
      <c r="Y373" s="6"/>
      <c r="Z373" s="6"/>
    </row>
    <row r="374" spans="25:26" ht="26.25">
      <c r="Y374" s="6"/>
      <c r="Z374" s="6"/>
    </row>
    <row r="375" spans="25:26" ht="26.25">
      <c r="Y375" s="6"/>
      <c r="Z375" s="6"/>
    </row>
    <row r="376" spans="25:26" ht="26.25">
      <c r="Y376" s="6"/>
      <c r="Z376" s="6"/>
    </row>
    <row r="377" spans="25:26" ht="26.25">
      <c r="Y377" s="6"/>
      <c r="Z377" s="6"/>
    </row>
    <row r="378" spans="25:26" ht="26.25">
      <c r="Y378" s="6"/>
      <c r="Z378" s="6"/>
    </row>
    <row r="379" spans="25:26" ht="26.25">
      <c r="Y379" s="6"/>
      <c r="Z379" s="6"/>
    </row>
    <row r="380" spans="25:26" ht="26.25">
      <c r="Y380" s="6"/>
      <c r="Z380" s="6"/>
    </row>
    <row r="381" spans="25:26" ht="26.25">
      <c r="Y381" s="6"/>
      <c r="Z381" s="6"/>
    </row>
    <row r="382" spans="25:26" ht="26.25">
      <c r="Y382" s="6"/>
      <c r="Z382" s="6"/>
    </row>
    <row r="383" spans="25:26" ht="26.25">
      <c r="Y383" s="6"/>
      <c r="Z383" s="6"/>
    </row>
    <row r="384" spans="25:26" ht="26.25">
      <c r="Y384" s="6"/>
      <c r="Z384" s="6"/>
    </row>
    <row r="385" spans="25:26" ht="26.25">
      <c r="Y385" s="6"/>
      <c r="Z385" s="6"/>
    </row>
    <row r="386" spans="25:26" ht="26.25">
      <c r="Y386" s="6"/>
      <c r="Z386" s="6"/>
    </row>
    <row r="387" spans="25:26" ht="26.25">
      <c r="Y387" s="6"/>
      <c r="Z387" s="6"/>
    </row>
    <row r="388" spans="25:26" ht="26.25">
      <c r="Y388" s="6"/>
      <c r="Z388" s="6"/>
    </row>
    <row r="389" spans="25:26" ht="26.25">
      <c r="Y389" s="6"/>
      <c r="Z389" s="6"/>
    </row>
    <row r="390" spans="25:26" ht="26.25">
      <c r="Y390" s="6"/>
      <c r="Z390" s="6"/>
    </row>
    <row r="391" spans="25:26" ht="26.25">
      <c r="Y391" s="6"/>
      <c r="Z391" s="6"/>
    </row>
    <row r="392" spans="25:26" ht="26.25">
      <c r="Y392" s="6"/>
      <c r="Z392" s="6"/>
    </row>
    <row r="393" spans="25:26" ht="26.25">
      <c r="Y393" s="6"/>
      <c r="Z393" s="6"/>
    </row>
    <row r="394" spans="25:26" ht="26.25">
      <c r="Y394" s="6"/>
      <c r="Z394" s="6"/>
    </row>
    <row r="395" spans="25:26" ht="26.25">
      <c r="Y395" s="6"/>
      <c r="Z395" s="6"/>
    </row>
    <row r="396" spans="25:26" ht="26.25">
      <c r="Y396" s="6"/>
      <c r="Z396" s="6"/>
    </row>
    <row r="397" spans="25:26" ht="26.25">
      <c r="Y397" s="6"/>
      <c r="Z397" s="6"/>
    </row>
    <row r="398" spans="25:26" ht="26.25">
      <c r="Y398" s="6"/>
      <c r="Z398" s="6"/>
    </row>
    <row r="399" spans="25:26" ht="26.25">
      <c r="Y399" s="6"/>
      <c r="Z399" s="6"/>
    </row>
    <row r="400" spans="25:26" ht="26.25">
      <c r="Y400" s="6"/>
      <c r="Z400" s="6"/>
    </row>
    <row r="401" spans="25:26" ht="26.25">
      <c r="Y401" s="6"/>
      <c r="Z401" s="6"/>
    </row>
    <row r="402" spans="25:26" ht="26.25">
      <c r="Y402" s="6"/>
      <c r="Z402" s="6"/>
    </row>
    <row r="403" spans="25:26" ht="26.25">
      <c r="Y403" s="6"/>
      <c r="Z403" s="6"/>
    </row>
    <row r="404" spans="25:26" ht="26.25">
      <c r="Y404" s="6"/>
      <c r="Z404" s="6"/>
    </row>
    <row r="405" spans="25:26" ht="26.25">
      <c r="Y405" s="6"/>
      <c r="Z405" s="6"/>
    </row>
    <row r="406" spans="25:26" ht="26.25">
      <c r="Y406" s="6"/>
      <c r="Z406" s="6"/>
    </row>
    <row r="407" spans="25:26" ht="26.25">
      <c r="Y407" s="6"/>
      <c r="Z407" s="6"/>
    </row>
    <row r="408" spans="25:26" ht="26.25">
      <c r="Y408" s="6"/>
      <c r="Z408" s="6"/>
    </row>
    <row r="409" spans="25:26" ht="26.25">
      <c r="Y409" s="6"/>
      <c r="Z409" s="6"/>
    </row>
    <row r="410" spans="25:26" ht="26.25">
      <c r="Y410" s="6"/>
      <c r="Z410" s="6"/>
    </row>
    <row r="411" spans="25:26" ht="26.25">
      <c r="Y411" s="6"/>
      <c r="Z411" s="6"/>
    </row>
    <row r="412" spans="25:26" ht="26.25">
      <c r="Y412" s="6"/>
      <c r="Z412" s="6"/>
    </row>
    <row r="413" spans="25:26" ht="26.25">
      <c r="Y413" s="6"/>
      <c r="Z413" s="6"/>
    </row>
    <row r="414" spans="25:26" ht="26.25">
      <c r="Y414" s="6"/>
      <c r="Z414" s="6"/>
    </row>
    <row r="415" spans="25:26" ht="26.25">
      <c r="Y415" s="6"/>
      <c r="Z415" s="6"/>
    </row>
    <row r="416" spans="25:26" ht="26.25">
      <c r="Y416" s="6"/>
      <c r="Z416" s="6"/>
    </row>
    <row r="417" spans="25:26" ht="26.25">
      <c r="Y417" s="6"/>
      <c r="Z417" s="6"/>
    </row>
    <row r="418" spans="25:26" ht="26.25">
      <c r="Y418" s="6"/>
      <c r="Z418" s="6"/>
    </row>
    <row r="419" spans="25:26" ht="26.25">
      <c r="Y419" s="6"/>
      <c r="Z419" s="6"/>
    </row>
    <row r="420" spans="25:26" ht="26.25">
      <c r="Y420" s="6"/>
      <c r="Z420" s="6"/>
    </row>
    <row r="421" spans="25:26" ht="26.25">
      <c r="Y421" s="6"/>
      <c r="Z421" s="6"/>
    </row>
    <row r="422" spans="25:26" ht="26.25">
      <c r="Y422" s="6"/>
      <c r="Z422" s="6"/>
    </row>
    <row r="423" spans="25:26" ht="26.25">
      <c r="Y423" s="6"/>
      <c r="Z423" s="6"/>
    </row>
    <row r="424" spans="25:26" ht="26.25">
      <c r="Y424" s="6"/>
      <c r="Z424" s="6"/>
    </row>
    <row r="425" spans="25:26" ht="26.25">
      <c r="Y425" s="6"/>
      <c r="Z425" s="6"/>
    </row>
    <row r="426" spans="25:26" ht="26.25">
      <c r="Y426" s="6"/>
      <c r="Z426" s="6"/>
    </row>
    <row r="427" spans="25:26" ht="26.25">
      <c r="Y427" s="6"/>
      <c r="Z427" s="6"/>
    </row>
    <row r="428" spans="25:26" ht="26.25">
      <c r="Y428" s="6"/>
      <c r="Z428" s="6"/>
    </row>
    <row r="429" spans="25:26" ht="26.25">
      <c r="Y429" s="6"/>
      <c r="Z429" s="6"/>
    </row>
    <row r="430" spans="25:26" ht="26.25">
      <c r="Y430" s="6"/>
      <c r="Z430" s="6"/>
    </row>
    <row r="431" spans="25:26" ht="26.25">
      <c r="Y431" s="6"/>
      <c r="Z431" s="6"/>
    </row>
    <row r="432" spans="25:26" ht="26.25">
      <c r="Y432" s="6"/>
      <c r="Z432" s="6"/>
    </row>
    <row r="433" spans="25:26" ht="26.25">
      <c r="Y433" s="6"/>
      <c r="Z433" s="6"/>
    </row>
    <row r="434" spans="25:26" ht="26.25">
      <c r="Y434" s="6"/>
      <c r="Z434" s="6"/>
    </row>
    <row r="435" spans="25:26" ht="26.25">
      <c r="Y435" s="6"/>
      <c r="Z435" s="6"/>
    </row>
    <row r="436" spans="25:26" ht="26.25">
      <c r="Y436" s="6"/>
      <c r="Z436" s="6"/>
    </row>
    <row r="437" spans="25:26" ht="26.25">
      <c r="Y437" s="6"/>
      <c r="Z437" s="6"/>
    </row>
    <row r="438" spans="25:26" ht="26.25">
      <c r="Y438" s="6"/>
      <c r="Z438" s="6"/>
    </row>
    <row r="439" spans="25:26" ht="26.25">
      <c r="Y439" s="6"/>
      <c r="Z439" s="6"/>
    </row>
    <row r="440" spans="25:26" ht="26.25">
      <c r="Y440" s="6"/>
      <c r="Z440" s="6"/>
    </row>
    <row r="441" spans="25:26" ht="26.25">
      <c r="Y441" s="6"/>
      <c r="Z441" s="6"/>
    </row>
    <row r="442" spans="25:26" ht="26.25">
      <c r="Y442" s="6"/>
      <c r="Z442" s="6"/>
    </row>
    <row r="443" spans="25:26" ht="26.25">
      <c r="Y443" s="6"/>
      <c r="Z443" s="6"/>
    </row>
    <row r="444" spans="25:26" ht="26.25">
      <c r="Y444" s="6"/>
      <c r="Z444" s="6"/>
    </row>
    <row r="445" spans="25:26" ht="26.25">
      <c r="Y445" s="6"/>
      <c r="Z445" s="6"/>
    </row>
    <row r="446" spans="25:26" ht="26.25">
      <c r="Y446" s="6"/>
      <c r="Z446" s="6"/>
    </row>
    <row r="447" spans="25:26" ht="26.25">
      <c r="Y447" s="6"/>
      <c r="Z447" s="6"/>
    </row>
    <row r="448" spans="25:26" ht="26.25">
      <c r="Y448" s="6"/>
      <c r="Z448" s="6"/>
    </row>
    <row r="449" spans="25:26" ht="26.25">
      <c r="Y449" s="6"/>
      <c r="Z449" s="6"/>
    </row>
    <row r="450" spans="25:26" ht="26.25">
      <c r="Y450" s="6"/>
      <c r="Z450" s="6"/>
    </row>
    <row r="451" spans="25:26" ht="26.25">
      <c r="Y451" s="6"/>
      <c r="Z451" s="6"/>
    </row>
    <row r="452" spans="25:26" ht="26.25">
      <c r="Y452" s="6"/>
      <c r="Z452" s="6"/>
    </row>
    <row r="453" spans="25:26" ht="26.25">
      <c r="Y453" s="6"/>
      <c r="Z453" s="6"/>
    </row>
    <row r="454" spans="25:26" ht="26.25">
      <c r="Y454" s="6"/>
      <c r="Z454" s="6"/>
    </row>
    <row r="455" spans="25:26" ht="26.25">
      <c r="Y455" s="6"/>
      <c r="Z455" s="6"/>
    </row>
    <row r="456" spans="25:26" ht="26.25">
      <c r="Y456" s="6"/>
      <c r="Z456" s="6"/>
    </row>
    <row r="457" spans="25:26" ht="26.25">
      <c r="Y457" s="6"/>
      <c r="Z457" s="6"/>
    </row>
    <row r="458" spans="25:26" ht="26.25">
      <c r="Y458" s="6"/>
      <c r="Z458" s="6"/>
    </row>
    <row r="459" spans="25:26" ht="26.25">
      <c r="Y459" s="6"/>
      <c r="Z459" s="6"/>
    </row>
    <row r="460" spans="25:26" ht="26.25">
      <c r="Y460" s="6"/>
      <c r="Z460" s="6"/>
    </row>
    <row r="461" spans="25:26" ht="26.25">
      <c r="Y461" s="6"/>
      <c r="Z461" s="6"/>
    </row>
    <row r="462" spans="25:26" ht="26.25">
      <c r="Y462" s="6"/>
      <c r="Z462" s="6"/>
    </row>
    <row r="463" spans="25:26" ht="26.25">
      <c r="Y463" s="6"/>
      <c r="Z463" s="6"/>
    </row>
    <row r="464" spans="25:26" ht="26.25">
      <c r="Y464" s="6"/>
      <c r="Z464" s="6"/>
    </row>
    <row r="465" spans="25:26" ht="26.25">
      <c r="Y465" s="6"/>
      <c r="Z465" s="6"/>
    </row>
    <row r="466" spans="25:26" ht="26.25">
      <c r="Y466" s="6"/>
      <c r="Z466" s="6"/>
    </row>
    <row r="467" spans="25:26" ht="26.25">
      <c r="Y467" s="6"/>
      <c r="Z467" s="6"/>
    </row>
    <row r="468" spans="25:26" ht="26.25">
      <c r="Y468" s="6"/>
      <c r="Z468" s="6"/>
    </row>
    <row r="469" spans="25:26" ht="26.25">
      <c r="Y469" s="6"/>
      <c r="Z469" s="6"/>
    </row>
    <row r="470" spans="25:26" ht="26.25">
      <c r="Y470" s="6"/>
      <c r="Z470" s="6"/>
    </row>
    <row r="471" spans="25:26" ht="26.25">
      <c r="Y471" s="6"/>
      <c r="Z471" s="6"/>
    </row>
    <row r="472" spans="25:26" ht="26.25">
      <c r="Y472" s="6"/>
      <c r="Z472" s="6"/>
    </row>
    <row r="473" spans="25:26" ht="26.25">
      <c r="Y473" s="6"/>
      <c r="Z473" s="6"/>
    </row>
    <row r="474" spans="25:26" ht="26.25">
      <c r="Y474" s="6"/>
      <c r="Z474" s="6"/>
    </row>
    <row r="475" spans="25:26" ht="26.25">
      <c r="Y475" s="6"/>
      <c r="Z475" s="6"/>
    </row>
    <row r="476" spans="25:26" ht="26.25">
      <c r="Y476" s="6"/>
      <c r="Z476" s="6"/>
    </row>
    <row r="477" spans="25:26" ht="26.25">
      <c r="Y477" s="6"/>
      <c r="Z477" s="6"/>
    </row>
    <row r="478" spans="25:26" ht="26.25">
      <c r="Y478" s="6"/>
      <c r="Z478" s="6"/>
    </row>
    <row r="479" spans="25:26" ht="26.25">
      <c r="Y479" s="6"/>
      <c r="Z479" s="6"/>
    </row>
    <row r="480" spans="25:26" ht="26.25">
      <c r="Y480" s="6"/>
      <c r="Z480" s="6"/>
    </row>
    <row r="481" spans="25:26" ht="26.25">
      <c r="Y481" s="6"/>
      <c r="Z481" s="6"/>
    </row>
    <row r="482" spans="25:26" ht="26.25">
      <c r="Y482" s="6"/>
      <c r="Z482" s="6"/>
    </row>
    <row r="483" spans="25:26" ht="26.25">
      <c r="Y483" s="6"/>
      <c r="Z483" s="6"/>
    </row>
    <row r="484" spans="25:26" ht="26.25">
      <c r="Y484" s="6"/>
      <c r="Z484" s="6"/>
    </row>
    <row r="485" spans="25:26" ht="26.25">
      <c r="Y485" s="6"/>
      <c r="Z485" s="6"/>
    </row>
    <row r="486" spans="25:26" ht="26.25">
      <c r="Y486" s="6"/>
      <c r="Z486" s="6"/>
    </row>
    <row r="487" spans="25:26" ht="26.25">
      <c r="Y487" s="6"/>
      <c r="Z487" s="6"/>
    </row>
    <row r="488" spans="25:26" ht="26.25">
      <c r="Y488" s="6"/>
      <c r="Z488" s="6"/>
    </row>
    <row r="489" spans="25:26" ht="26.25">
      <c r="Y489" s="6"/>
      <c r="Z489" s="6"/>
    </row>
    <row r="490" spans="25:26" ht="26.25">
      <c r="Y490" s="6"/>
      <c r="Z490" s="6"/>
    </row>
    <row r="491" spans="25:26" ht="26.25">
      <c r="Y491" s="6"/>
      <c r="Z491" s="6"/>
    </row>
    <row r="492" spans="25:26" ht="26.25">
      <c r="Y492" s="6"/>
      <c r="Z492" s="6"/>
    </row>
    <row r="493" spans="25:26" ht="26.25">
      <c r="Y493" s="6"/>
      <c r="Z493" s="6"/>
    </row>
    <row r="494" spans="25:26" ht="26.25">
      <c r="Y494" s="6"/>
      <c r="Z494" s="6"/>
    </row>
    <row r="495" spans="25:26" ht="26.25">
      <c r="Y495" s="6"/>
      <c r="Z495" s="6"/>
    </row>
    <row r="496" spans="25:26" ht="26.25">
      <c r="Y496" s="6"/>
      <c r="Z496" s="6"/>
    </row>
    <row r="497" spans="25:26" ht="26.25">
      <c r="Y497" s="6"/>
      <c r="Z497" s="6"/>
    </row>
    <row r="498" spans="25:26" ht="26.25">
      <c r="Y498" s="6"/>
      <c r="Z498" s="6"/>
    </row>
    <row r="499" spans="25:26" ht="26.25">
      <c r="Y499" s="6"/>
      <c r="Z499" s="6"/>
    </row>
    <row r="500" spans="25:26" ht="26.25">
      <c r="Y500" s="6"/>
      <c r="Z500" s="6"/>
    </row>
    <row r="501" spans="25:26" ht="26.25">
      <c r="Y501" s="6"/>
      <c r="Z501" s="6"/>
    </row>
    <row r="502" spans="25:26" ht="26.25">
      <c r="Y502" s="6"/>
      <c r="Z502" s="6"/>
    </row>
    <row r="503" spans="25:26" ht="26.25">
      <c r="Y503" s="6"/>
      <c r="Z503" s="6"/>
    </row>
    <row r="504" spans="25:26" ht="26.25">
      <c r="Y504" s="6"/>
      <c r="Z504" s="6"/>
    </row>
    <row r="505" spans="25:26" ht="26.25">
      <c r="Y505" s="6"/>
      <c r="Z505" s="6"/>
    </row>
  </sheetData>
  <sheetProtection/>
  <mergeCells count="17">
    <mergeCell ref="BA49:BE49"/>
    <mergeCell ref="K4:Q4"/>
    <mergeCell ref="AM4:AS4"/>
    <mergeCell ref="AT4:AZ4"/>
    <mergeCell ref="B49:E49"/>
    <mergeCell ref="U49:V49"/>
    <mergeCell ref="AT49:AW49"/>
    <mergeCell ref="AY49:AZ49"/>
    <mergeCell ref="A1:AP1"/>
    <mergeCell ref="A2:AP2"/>
    <mergeCell ref="A4:A5"/>
    <mergeCell ref="B4:B5"/>
    <mergeCell ref="C4:C5"/>
    <mergeCell ref="D4:I4"/>
    <mergeCell ref="R4:W4"/>
    <mergeCell ref="Y4:AE4"/>
    <mergeCell ref="AF4:AL4"/>
  </mergeCells>
  <printOptions/>
  <pageMargins left="0" right="0" top="0" bottom="0" header="0.1968503937007874" footer="0.2755905511811024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504"/>
  <sheetViews>
    <sheetView view="pageBreakPreview" zoomScale="50" zoomScaleSheetLayoutView="50" zoomScalePageLayoutView="0" workbookViewId="0" topLeftCell="A1">
      <pane xSplit="2" ySplit="6" topLeftCell="Y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X27" sqref="X27"/>
    </sheetView>
  </sheetViews>
  <sheetFormatPr defaultColWidth="9.00390625" defaultRowHeight="12.75"/>
  <cols>
    <col min="1" max="1" width="11.125" style="5" customWidth="1"/>
    <col min="2" max="2" width="74.00390625" style="5" customWidth="1"/>
    <col min="3" max="3" width="11.125" style="5" customWidth="1"/>
    <col min="4" max="4" width="22.00390625" style="6" customWidth="1"/>
    <col min="5" max="5" width="22.125" style="92" customWidth="1"/>
    <col min="6" max="6" width="21.00390625" style="92" customWidth="1"/>
    <col min="7" max="7" width="20.875" style="92" customWidth="1"/>
    <col min="8" max="8" width="22.75390625" style="92" customWidth="1"/>
    <col min="9" max="9" width="21.625" style="92" customWidth="1"/>
    <col min="10" max="10" width="19.625" style="92" customWidth="1"/>
    <col min="11" max="11" width="21.75390625" style="6" customWidth="1"/>
    <col min="12" max="12" width="20.375" style="6" customWidth="1"/>
    <col min="13" max="13" width="16.625" style="6" customWidth="1"/>
    <col min="14" max="14" width="19.75390625" style="6" customWidth="1"/>
    <col min="15" max="15" width="18.00390625" style="6" customWidth="1"/>
    <col min="16" max="17" width="20.25390625" style="6" customWidth="1"/>
    <col min="18" max="18" width="25.625" style="6" customWidth="1"/>
    <col min="19" max="19" width="23.625" style="6" customWidth="1"/>
    <col min="20" max="20" width="25.375" style="6" customWidth="1"/>
    <col min="21" max="21" width="25.625" style="6" customWidth="1"/>
    <col min="22" max="22" width="23.00390625" style="6" customWidth="1"/>
    <col min="23" max="24" width="26.625" style="6" customWidth="1"/>
    <col min="25" max="25" width="22.75390625" style="95" customWidth="1"/>
    <col min="26" max="26" width="27.25390625" style="92" customWidth="1"/>
    <col min="27" max="27" width="21.625" style="92" customWidth="1"/>
    <col min="28" max="28" width="20.125" style="92" customWidth="1"/>
    <col min="29" max="29" width="20.375" style="92" customWidth="1"/>
    <col min="30" max="30" width="20.875" style="92" customWidth="1"/>
    <col min="31" max="31" width="21.75390625" style="92" customWidth="1"/>
    <col min="32" max="32" width="17.375" style="6" customWidth="1"/>
    <col min="33" max="33" width="17.75390625" style="6" customWidth="1"/>
    <col min="34" max="34" width="17.875" style="6" customWidth="1"/>
    <col min="35" max="35" width="17.00390625" style="6" customWidth="1"/>
    <col min="36" max="36" width="16.125" style="6" customWidth="1"/>
    <col min="37" max="37" width="17.25390625" style="6" customWidth="1"/>
    <col min="38" max="38" width="19.625" style="6" customWidth="1"/>
    <col min="39" max="39" width="26.875" style="6" customWidth="1"/>
    <col min="40" max="40" width="24.375" style="6" customWidth="1"/>
    <col min="41" max="41" width="25.375" style="6" customWidth="1"/>
    <col min="42" max="42" width="25.625" style="6" customWidth="1"/>
    <col min="43" max="43" width="25.00390625" style="6" customWidth="1"/>
    <col min="44" max="45" width="26.25390625" style="6" customWidth="1"/>
    <col min="46" max="46" width="25.625" style="93" customWidth="1"/>
    <col min="47" max="48" width="23.875" style="6" customWidth="1"/>
    <col min="49" max="49" width="26.125" style="6" customWidth="1"/>
    <col min="50" max="50" width="23.875" style="6" customWidth="1"/>
    <col min="51" max="52" width="25.375" style="6" customWidth="1"/>
    <col min="53" max="65" width="9.125" style="4" customWidth="1"/>
    <col min="66" max="16384" width="9.125" style="5" customWidth="1"/>
  </cols>
  <sheetData>
    <row r="1" spans="1:52" ht="36" customHeight="1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1"/>
      <c r="AR1" s="1"/>
      <c r="AS1" s="1"/>
      <c r="AT1" s="2"/>
      <c r="AU1" s="3"/>
      <c r="AV1" s="3"/>
      <c r="AW1" s="3"/>
      <c r="AX1" s="3"/>
      <c r="AY1" s="3"/>
      <c r="AZ1" s="3"/>
    </row>
    <row r="2" spans="1:52" ht="30" customHeight="1">
      <c r="A2" s="224" t="s">
        <v>47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1"/>
      <c r="AR2" s="1"/>
      <c r="AS2" s="1"/>
      <c r="AT2" s="2"/>
      <c r="AU2" s="3"/>
      <c r="AV2" s="3"/>
      <c r="AW2" s="3"/>
      <c r="AX2" s="3"/>
      <c r="AY2" s="3"/>
      <c r="AZ2" s="3"/>
    </row>
    <row r="3" spans="1:46" ht="11.25" customHeight="1" thickBot="1">
      <c r="A3" s="1"/>
      <c r="B3" s="1"/>
      <c r="D3" s="3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2"/>
    </row>
    <row r="4" spans="1:65" s="8" customFormat="1" ht="30.75" customHeight="1">
      <c r="A4" s="216"/>
      <c r="B4" s="218" t="s">
        <v>7</v>
      </c>
      <c r="C4" s="218"/>
      <c r="D4" s="209" t="s">
        <v>30</v>
      </c>
      <c r="E4" s="210"/>
      <c r="F4" s="210"/>
      <c r="G4" s="210"/>
      <c r="H4" s="210"/>
      <c r="I4" s="220"/>
      <c r="J4" s="111"/>
      <c r="K4" s="209" t="s">
        <v>11</v>
      </c>
      <c r="L4" s="210"/>
      <c r="M4" s="210"/>
      <c r="N4" s="210"/>
      <c r="O4" s="210"/>
      <c r="P4" s="220"/>
      <c r="Q4" s="111"/>
      <c r="R4" s="209" t="s">
        <v>31</v>
      </c>
      <c r="S4" s="210"/>
      <c r="T4" s="210"/>
      <c r="U4" s="210"/>
      <c r="V4" s="210"/>
      <c r="W4" s="220"/>
      <c r="X4" s="111"/>
      <c r="Y4" s="209" t="s">
        <v>8</v>
      </c>
      <c r="Z4" s="210"/>
      <c r="AA4" s="210"/>
      <c r="AB4" s="210"/>
      <c r="AC4" s="210"/>
      <c r="AD4" s="210"/>
      <c r="AE4" s="220"/>
      <c r="AF4" s="221" t="s">
        <v>10</v>
      </c>
      <c r="AG4" s="222"/>
      <c r="AH4" s="222"/>
      <c r="AI4" s="222"/>
      <c r="AJ4" s="222"/>
      <c r="AK4" s="222"/>
      <c r="AL4" s="223"/>
      <c r="AM4" s="209" t="s">
        <v>32</v>
      </c>
      <c r="AN4" s="210"/>
      <c r="AO4" s="210"/>
      <c r="AP4" s="210"/>
      <c r="AQ4" s="210"/>
      <c r="AR4" s="210"/>
      <c r="AS4" s="210"/>
      <c r="AT4" s="211" t="s">
        <v>33</v>
      </c>
      <c r="AU4" s="210"/>
      <c r="AV4" s="210"/>
      <c r="AW4" s="210"/>
      <c r="AX4" s="210"/>
      <c r="AY4" s="210"/>
      <c r="AZ4" s="212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52" ht="50.25" customHeight="1">
      <c r="A5" s="217"/>
      <c r="B5" s="219"/>
      <c r="C5" s="219"/>
      <c r="D5" s="11" t="s">
        <v>6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12" t="s">
        <v>36</v>
      </c>
      <c r="K5" s="11" t="s">
        <v>6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36</v>
      </c>
      <c r="R5" s="11" t="s">
        <v>6</v>
      </c>
      <c r="S5" s="12" t="s">
        <v>12</v>
      </c>
      <c r="T5" s="12" t="s">
        <v>13</v>
      </c>
      <c r="U5" s="12" t="s">
        <v>14</v>
      </c>
      <c r="V5" s="12" t="s">
        <v>15</v>
      </c>
      <c r="W5" s="12" t="s">
        <v>16</v>
      </c>
      <c r="X5" s="12" t="s">
        <v>36</v>
      </c>
      <c r="Y5" s="11" t="s">
        <v>6</v>
      </c>
      <c r="Z5" s="12" t="s">
        <v>12</v>
      </c>
      <c r="AA5" s="12" t="s">
        <v>13</v>
      </c>
      <c r="AB5" s="12" t="s">
        <v>14</v>
      </c>
      <c r="AC5" s="12" t="s">
        <v>15</v>
      </c>
      <c r="AD5" s="12" t="s">
        <v>16</v>
      </c>
      <c r="AE5" s="12" t="s">
        <v>36</v>
      </c>
      <c r="AF5" s="11" t="s">
        <v>6</v>
      </c>
      <c r="AG5" s="12" t="s">
        <v>12</v>
      </c>
      <c r="AH5" s="12" t="s">
        <v>13</v>
      </c>
      <c r="AI5" s="12" t="s">
        <v>14</v>
      </c>
      <c r="AJ5" s="12" t="s">
        <v>15</v>
      </c>
      <c r="AK5" s="12" t="s">
        <v>16</v>
      </c>
      <c r="AL5" s="12" t="s">
        <v>36</v>
      </c>
      <c r="AM5" s="14" t="s">
        <v>6</v>
      </c>
      <c r="AN5" s="12" t="s">
        <v>12</v>
      </c>
      <c r="AO5" s="12" t="s">
        <v>13</v>
      </c>
      <c r="AP5" s="12" t="s">
        <v>14</v>
      </c>
      <c r="AQ5" s="12" t="s">
        <v>15</v>
      </c>
      <c r="AR5" s="12" t="s">
        <v>16</v>
      </c>
      <c r="AS5" s="112" t="s">
        <v>36</v>
      </c>
      <c r="AT5" s="114" t="s">
        <v>6</v>
      </c>
      <c r="AU5" s="16" t="s">
        <v>12</v>
      </c>
      <c r="AV5" s="16" t="s">
        <v>13</v>
      </c>
      <c r="AW5" s="16" t="s">
        <v>14</v>
      </c>
      <c r="AX5" s="16" t="s">
        <v>15</v>
      </c>
      <c r="AY5" s="16" t="s">
        <v>16</v>
      </c>
      <c r="AZ5" s="110" t="s">
        <v>36</v>
      </c>
    </row>
    <row r="6" spans="1:65" s="22" customFormat="1" ht="25.5" customHeight="1" thickBot="1">
      <c r="A6" s="17"/>
      <c r="B6" s="18">
        <v>2</v>
      </c>
      <c r="C6" s="18"/>
      <c r="D6" s="19">
        <v>3</v>
      </c>
      <c r="E6" s="18"/>
      <c r="F6" s="18"/>
      <c r="G6" s="18"/>
      <c r="H6" s="18"/>
      <c r="I6" s="18"/>
      <c r="J6" s="18"/>
      <c r="K6" s="19">
        <v>4</v>
      </c>
      <c r="L6" s="20"/>
      <c r="M6" s="20"/>
      <c r="N6" s="20"/>
      <c r="O6" s="20"/>
      <c r="P6" s="20"/>
      <c r="Q6" s="20"/>
      <c r="R6" s="19">
        <v>5</v>
      </c>
      <c r="S6" s="20"/>
      <c r="T6" s="20"/>
      <c r="U6" s="20"/>
      <c r="V6" s="20"/>
      <c r="W6" s="20"/>
      <c r="X6" s="20"/>
      <c r="Y6" s="19">
        <v>6</v>
      </c>
      <c r="Z6" s="18"/>
      <c r="AA6" s="18"/>
      <c r="AB6" s="18"/>
      <c r="AC6" s="18"/>
      <c r="AD6" s="18"/>
      <c r="AE6" s="18"/>
      <c r="AF6" s="19">
        <v>7</v>
      </c>
      <c r="AG6" s="20"/>
      <c r="AH6" s="20"/>
      <c r="AI6" s="20"/>
      <c r="AJ6" s="20"/>
      <c r="AK6" s="20"/>
      <c r="AL6" s="20"/>
      <c r="AM6" s="19">
        <v>8</v>
      </c>
      <c r="AN6" s="20"/>
      <c r="AO6" s="20"/>
      <c r="AP6" s="20"/>
      <c r="AQ6" s="20"/>
      <c r="AR6" s="20"/>
      <c r="AS6" s="113"/>
      <c r="AT6" s="115">
        <v>9</v>
      </c>
      <c r="AU6" s="116"/>
      <c r="AV6" s="116"/>
      <c r="AW6" s="116"/>
      <c r="AX6" s="116"/>
      <c r="AY6" s="116"/>
      <c r="AZ6" s="117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</row>
    <row r="7" spans="1:65" s="29" customFormat="1" ht="43.5" customHeight="1" thickBot="1">
      <c r="A7" s="23">
        <v>1</v>
      </c>
      <c r="B7" s="24" t="s">
        <v>2</v>
      </c>
      <c r="C7" s="24" t="s">
        <v>4</v>
      </c>
      <c r="D7" s="25">
        <f aca="true" t="shared" si="0" ref="D7:J7">SUM(D8:D18)</f>
        <v>15157.921937078532</v>
      </c>
      <c r="E7" s="25">
        <f t="shared" si="0"/>
        <v>1220.6892173573194</v>
      </c>
      <c r="F7" s="25">
        <f t="shared" si="0"/>
        <v>7169.0880004530645</v>
      </c>
      <c r="G7" s="25">
        <f t="shared" si="0"/>
        <v>2727.8350579763737</v>
      </c>
      <c r="H7" s="25">
        <f t="shared" si="0"/>
        <v>2264.7373</v>
      </c>
      <c r="I7" s="25">
        <f t="shared" si="0"/>
        <v>1495.4291564528394</v>
      </c>
      <c r="J7" s="25">
        <f t="shared" si="0"/>
        <v>280.14320483893766</v>
      </c>
      <c r="K7" s="27">
        <f aca="true" t="shared" si="1" ref="K7:P7">R7/D7</f>
        <v>2257.380775678731</v>
      </c>
      <c r="L7" s="27">
        <f t="shared" si="1"/>
        <v>2750.0995194072693</v>
      </c>
      <c r="M7" s="27">
        <f t="shared" si="1"/>
        <v>1810.9987643030051</v>
      </c>
      <c r="N7" s="27">
        <f t="shared" si="1"/>
        <v>2711.7592863138825</v>
      </c>
      <c r="O7" s="27">
        <f t="shared" si="1"/>
        <v>2682.3169998568933</v>
      </c>
      <c r="P7" s="27">
        <f t="shared" si="1"/>
        <v>2677.4403406025003</v>
      </c>
      <c r="Q7" s="27">
        <f>Y7/J7</f>
        <v>53.539349588541306</v>
      </c>
      <c r="R7" s="27">
        <f aca="true" t="shared" si="2" ref="R7:AE7">SUM(R8:R18)</f>
        <v>34217201.57999999</v>
      </c>
      <c r="S7" s="27">
        <f t="shared" si="2"/>
        <v>3357016.83</v>
      </c>
      <c r="T7" s="27">
        <f t="shared" si="2"/>
        <v>12983209.510000002</v>
      </c>
      <c r="U7" s="27">
        <f t="shared" si="2"/>
        <v>7397232.05</v>
      </c>
      <c r="V7" s="27">
        <f t="shared" si="2"/>
        <v>6074743.36</v>
      </c>
      <c r="W7" s="27">
        <f t="shared" si="2"/>
        <v>4003922.35</v>
      </c>
      <c r="X7" s="27">
        <f t="shared" si="2"/>
        <v>401077.48</v>
      </c>
      <c r="Y7" s="59">
        <f t="shared" si="2"/>
        <v>14998.68497872622</v>
      </c>
      <c r="Z7" s="59">
        <f t="shared" si="2"/>
        <v>1196.8328926961372</v>
      </c>
      <c r="AA7" s="59">
        <f t="shared" si="2"/>
        <v>7116.868957980087</v>
      </c>
      <c r="AB7" s="59">
        <f t="shared" si="2"/>
        <v>2666.592160140147</v>
      </c>
      <c r="AC7" s="59">
        <f t="shared" si="2"/>
        <v>2242.834829356884</v>
      </c>
      <c r="AD7" s="59">
        <f t="shared" si="2"/>
        <v>1495.412155157866</v>
      </c>
      <c r="AE7" s="59">
        <f t="shared" si="2"/>
        <v>280.14398339509694</v>
      </c>
      <c r="AF7" s="28">
        <f>AM7/Y7</f>
        <v>1242.1340975175417</v>
      </c>
      <c r="AG7" s="28">
        <f>AG12</f>
        <v>1244.41</v>
      </c>
      <c r="AH7" s="28">
        <f>AH12</f>
        <v>1244.41</v>
      </c>
      <c r="AI7" s="28">
        <f>AI12</f>
        <v>1244.41</v>
      </c>
      <c r="AJ7" s="28">
        <f>AJ12</f>
        <v>1244.41</v>
      </c>
      <c r="AK7" s="27">
        <f>AK12</f>
        <v>1244.41</v>
      </c>
      <c r="AL7" s="27">
        <f>AL17</f>
        <v>1122.56</v>
      </c>
      <c r="AM7" s="27">
        <f aca="true" t="shared" si="3" ref="AM7:AZ7">SUM(AM8:AM18)</f>
        <v>18630378.03</v>
      </c>
      <c r="AN7" s="27">
        <f t="shared" si="3"/>
        <v>1489350.82</v>
      </c>
      <c r="AO7" s="27">
        <f t="shared" si="3"/>
        <v>8856302.9</v>
      </c>
      <c r="AP7" s="27">
        <f t="shared" si="3"/>
        <v>3318333.95</v>
      </c>
      <c r="AQ7" s="27">
        <f t="shared" si="3"/>
        <v>2791006.09</v>
      </c>
      <c r="AR7" s="27">
        <f t="shared" si="3"/>
        <v>1860905.8399999999</v>
      </c>
      <c r="AS7" s="27">
        <f t="shared" si="3"/>
        <v>314478.43000000005</v>
      </c>
      <c r="AT7" s="118">
        <f t="shared" si="3"/>
        <v>15388691.420025727</v>
      </c>
      <c r="AU7" s="27">
        <f t="shared" si="3"/>
        <v>1837982.4729323783</v>
      </c>
      <c r="AV7" s="27">
        <f t="shared" si="3"/>
        <v>4061926.5278962012</v>
      </c>
      <c r="AW7" s="27">
        <f t="shared" si="3"/>
        <v>4002694.664287621</v>
      </c>
      <c r="AX7" s="27">
        <f t="shared" si="3"/>
        <v>3256488.411043</v>
      </c>
      <c r="AY7" s="27">
        <f t="shared" si="3"/>
        <v>2142999.419890522</v>
      </c>
      <c r="AZ7" s="27">
        <f t="shared" si="3"/>
        <v>86599.92397600219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</row>
    <row r="8" spans="1:52" ht="53.25" customHeight="1">
      <c r="A8" s="38"/>
      <c r="B8" s="47" t="s">
        <v>20</v>
      </c>
      <c r="C8" s="48"/>
      <c r="D8" s="49">
        <f aca="true" t="shared" si="4" ref="D8:D16">SUM(E8:I8)</f>
        <v>49.622017357319386</v>
      </c>
      <c r="E8" s="45">
        <f>S8/L8</f>
        <v>49.622017357319386</v>
      </c>
      <c r="F8" s="45"/>
      <c r="G8" s="45"/>
      <c r="H8" s="45"/>
      <c r="I8" s="45"/>
      <c r="J8" s="45"/>
      <c r="K8" s="14">
        <f>R8/D8</f>
        <v>4349.75</v>
      </c>
      <c r="L8" s="13">
        <v>4349.75</v>
      </c>
      <c r="M8" s="37"/>
      <c r="N8" s="37"/>
      <c r="O8" s="37"/>
      <c r="P8" s="50"/>
      <c r="Q8" s="13"/>
      <c r="R8" s="15">
        <f aca="true" t="shared" si="5" ref="R8:R16">SUM(S8:W8)</f>
        <v>215843.37</v>
      </c>
      <c r="S8" s="50">
        <v>215843.37</v>
      </c>
      <c r="T8" s="50"/>
      <c r="U8" s="50"/>
      <c r="V8" s="50"/>
      <c r="W8" s="50"/>
      <c r="X8" s="13"/>
      <c r="Y8" s="67">
        <f aca="true" t="shared" si="6" ref="Y8:Y16">SUM(Z8:AD8)</f>
        <v>50.42338136144839</v>
      </c>
      <c r="Z8" s="97">
        <f>AN8/AG8</f>
        <v>50.42338136144839</v>
      </c>
      <c r="AA8" s="97"/>
      <c r="AB8" s="97"/>
      <c r="AC8" s="97"/>
      <c r="AD8" s="97"/>
      <c r="AE8" s="97"/>
      <c r="AF8" s="14">
        <f>AG8</f>
        <v>1244.41</v>
      </c>
      <c r="AG8" s="13">
        <v>1244.41</v>
      </c>
      <c r="AH8" s="13"/>
      <c r="AI8" s="13"/>
      <c r="AJ8" s="13"/>
      <c r="AK8" s="13"/>
      <c r="AL8" s="37"/>
      <c r="AM8" s="15">
        <f aca="true" t="shared" si="7" ref="AM8:AM16">SUM(AN8:AR8)</f>
        <v>62747.36</v>
      </c>
      <c r="AN8" s="50">
        <v>62747.36</v>
      </c>
      <c r="AO8" s="50"/>
      <c r="AP8" s="50"/>
      <c r="AQ8" s="50"/>
      <c r="AR8" s="50"/>
      <c r="AS8" s="13"/>
      <c r="AT8" s="15">
        <f aca="true" t="shared" si="8" ref="AT8:AT16">SUM(AU8:AY8)</f>
        <v>154093.2353803782</v>
      </c>
      <c r="AU8" s="37">
        <f>(L8-AG8)*E8</f>
        <v>154093.2353803782</v>
      </c>
      <c r="AV8" s="37"/>
      <c r="AW8" s="37"/>
      <c r="AX8" s="37"/>
      <c r="AY8" s="37"/>
      <c r="AZ8" s="13"/>
    </row>
    <row r="9" spans="1:52" ht="53.25" customHeight="1">
      <c r="A9" s="38"/>
      <c r="B9" s="47" t="s">
        <v>21</v>
      </c>
      <c r="C9" s="48"/>
      <c r="D9" s="51">
        <f t="shared" si="4"/>
        <v>79.22490892340213</v>
      </c>
      <c r="E9" s="45"/>
      <c r="F9" s="45"/>
      <c r="G9" s="52">
        <f>U9/N9</f>
        <v>79.22490892340213</v>
      </c>
      <c r="H9" s="45"/>
      <c r="I9" s="45"/>
      <c r="J9" s="45"/>
      <c r="K9" s="14">
        <f>R9/D9</f>
        <v>4276.62</v>
      </c>
      <c r="L9" s="13"/>
      <c r="M9" s="37"/>
      <c r="N9" s="37">
        <v>4276.62</v>
      </c>
      <c r="O9" s="53"/>
      <c r="P9" s="50"/>
      <c r="Q9" s="13"/>
      <c r="R9" s="15">
        <f t="shared" si="5"/>
        <v>338814.83</v>
      </c>
      <c r="S9" s="50"/>
      <c r="T9" s="50"/>
      <c r="U9" s="50">
        <v>338814.83</v>
      </c>
      <c r="V9" s="50"/>
      <c r="W9" s="50"/>
      <c r="X9" s="13"/>
      <c r="Y9" s="67">
        <f t="shared" si="6"/>
        <v>79.22490176067372</v>
      </c>
      <c r="Z9" s="97"/>
      <c r="AA9" s="97"/>
      <c r="AB9" s="97">
        <f>AP9/AI9</f>
        <v>79.22490176067372</v>
      </c>
      <c r="AC9" s="97"/>
      <c r="AD9" s="97"/>
      <c r="AE9" s="97"/>
      <c r="AF9" s="14">
        <f>AI9</f>
        <v>1244.41</v>
      </c>
      <c r="AG9" s="13"/>
      <c r="AH9" s="13"/>
      <c r="AI9" s="13">
        <v>1244.41</v>
      </c>
      <c r="AJ9" s="13"/>
      <c r="AK9" s="13"/>
      <c r="AL9" s="37"/>
      <c r="AM9" s="15">
        <f t="shared" si="7"/>
        <v>98588.26</v>
      </c>
      <c r="AN9" s="50"/>
      <c r="AO9" s="50"/>
      <c r="AP9" s="50">
        <f>92463.03+6125.23</f>
        <v>98588.26</v>
      </c>
      <c r="AQ9" s="50"/>
      <c r="AR9" s="50"/>
      <c r="AS9" s="13"/>
      <c r="AT9" s="15">
        <f t="shared" si="8"/>
        <v>240226.56108662917</v>
      </c>
      <c r="AU9" s="37"/>
      <c r="AV9" s="37"/>
      <c r="AW9" s="37">
        <f>(N9-AI9)*G9</f>
        <v>240226.56108662917</v>
      </c>
      <c r="AX9" s="37"/>
      <c r="AY9" s="37"/>
      <c r="AZ9" s="13"/>
    </row>
    <row r="10" spans="1:52" ht="54.75" customHeight="1">
      <c r="A10" s="40"/>
      <c r="B10" s="54" t="s">
        <v>43</v>
      </c>
      <c r="C10" s="40"/>
      <c r="D10" s="49">
        <f t="shared" si="4"/>
        <v>1622.6020004530644</v>
      </c>
      <c r="E10" s="45"/>
      <c r="F10" s="45">
        <f>T10/M10</f>
        <v>1622.6020004530644</v>
      </c>
      <c r="G10" s="45"/>
      <c r="H10" s="45"/>
      <c r="I10" s="45"/>
      <c r="J10" s="45"/>
      <c r="K10" s="14">
        <f>R10/D10</f>
        <v>1721.61</v>
      </c>
      <c r="L10" s="13"/>
      <c r="M10" s="37">
        <v>1721.61</v>
      </c>
      <c r="N10" s="37"/>
      <c r="O10" s="37"/>
      <c r="P10" s="13"/>
      <c r="Q10" s="37"/>
      <c r="R10" s="15">
        <f t="shared" si="5"/>
        <v>2793487.83</v>
      </c>
      <c r="S10" s="13"/>
      <c r="T10" s="13">
        <v>2793487.83</v>
      </c>
      <c r="U10" s="13"/>
      <c r="V10" s="13"/>
      <c r="W10" s="13"/>
      <c r="X10" s="37"/>
      <c r="Y10" s="67">
        <f t="shared" si="6"/>
        <v>1622.6015220064126</v>
      </c>
      <c r="Z10" s="97"/>
      <c r="AA10" s="97">
        <f>AO10/AH10</f>
        <v>1622.6015220064126</v>
      </c>
      <c r="AB10" s="97"/>
      <c r="AC10" s="97"/>
      <c r="AD10" s="97"/>
      <c r="AE10" s="97"/>
      <c r="AF10" s="14">
        <f>AH10</f>
        <v>1244.41</v>
      </c>
      <c r="AG10" s="13"/>
      <c r="AH10" s="13">
        <v>1244.41</v>
      </c>
      <c r="AI10" s="13"/>
      <c r="AJ10" s="13"/>
      <c r="AK10" s="13"/>
      <c r="AL10" s="37"/>
      <c r="AM10" s="15">
        <f t="shared" si="7"/>
        <v>2019181.56</v>
      </c>
      <c r="AN10" s="13"/>
      <c r="AO10" s="13">
        <v>2019181.56</v>
      </c>
      <c r="AP10" s="13"/>
      <c r="AQ10" s="13"/>
      <c r="AR10" s="13"/>
      <c r="AS10" s="13"/>
      <c r="AT10" s="15">
        <f t="shared" si="8"/>
        <v>774305.674616202</v>
      </c>
      <c r="AU10" s="37"/>
      <c r="AV10" s="37">
        <f>(M10-AH10)*F10</f>
        <v>774305.674616202</v>
      </c>
      <c r="AW10" s="37"/>
      <c r="AX10" s="37"/>
      <c r="AY10" s="37"/>
      <c r="AZ10" s="13"/>
    </row>
    <row r="11" spans="1:52" ht="42" customHeight="1">
      <c r="A11" s="40"/>
      <c r="B11" s="54" t="s">
        <v>22</v>
      </c>
      <c r="C11" s="40"/>
      <c r="D11" s="41">
        <f t="shared" si="4"/>
        <v>14.718979107374716</v>
      </c>
      <c r="E11" s="42"/>
      <c r="F11" s="42"/>
      <c r="G11" s="42">
        <f>U11/N11</f>
        <v>14.718979107374716</v>
      </c>
      <c r="H11" s="42"/>
      <c r="I11" s="42"/>
      <c r="J11" s="42"/>
      <c r="K11" s="14">
        <f>R11/D11</f>
        <v>1524.94</v>
      </c>
      <c r="L11" s="13"/>
      <c r="M11" s="13"/>
      <c r="N11" s="13">
        <v>1524.94</v>
      </c>
      <c r="O11" s="13"/>
      <c r="P11" s="13"/>
      <c r="Q11" s="13"/>
      <c r="R11" s="14">
        <f t="shared" si="5"/>
        <v>22445.56</v>
      </c>
      <c r="S11" s="13"/>
      <c r="T11" s="13"/>
      <c r="U11" s="13">
        <v>22445.56</v>
      </c>
      <c r="V11" s="13"/>
      <c r="W11" s="13"/>
      <c r="X11" s="13"/>
      <c r="Y11" s="64">
        <f t="shared" si="6"/>
        <v>15.635530090565004</v>
      </c>
      <c r="Z11" s="65"/>
      <c r="AA11" s="65"/>
      <c r="AB11" s="65">
        <f>AP11/AI11</f>
        <v>15.635530090565004</v>
      </c>
      <c r="AC11" s="65"/>
      <c r="AD11" s="65"/>
      <c r="AE11" s="65"/>
      <c r="AF11" s="14">
        <f>AI11</f>
        <v>1244.41</v>
      </c>
      <c r="AG11" s="13"/>
      <c r="AH11" s="13"/>
      <c r="AI11" s="13">
        <v>1244.41</v>
      </c>
      <c r="AJ11" s="13"/>
      <c r="AK11" s="13"/>
      <c r="AL11" s="13"/>
      <c r="AM11" s="14">
        <f t="shared" si="7"/>
        <v>19457.01</v>
      </c>
      <c r="AN11" s="13"/>
      <c r="AO11" s="13"/>
      <c r="AP11" s="13">
        <v>19457.01</v>
      </c>
      <c r="AQ11" s="13"/>
      <c r="AR11" s="13"/>
      <c r="AS11" s="13"/>
      <c r="AT11" s="14">
        <f t="shared" si="8"/>
        <v>4129.115208991829</v>
      </c>
      <c r="AU11" s="37"/>
      <c r="AV11" s="37"/>
      <c r="AW11" s="37">
        <f>(N11-AI11)*G11</f>
        <v>4129.115208991829</v>
      </c>
      <c r="AX11" s="37"/>
      <c r="AY11" s="37"/>
      <c r="AZ11" s="13"/>
    </row>
    <row r="12" spans="1:52" ht="33" customHeight="1">
      <c r="A12" s="30"/>
      <c r="B12" s="31" t="s">
        <v>17</v>
      </c>
      <c r="C12" s="32"/>
      <c r="D12" s="33">
        <f t="shared" si="4"/>
        <v>8596.3818</v>
      </c>
      <c r="E12" s="34">
        <v>1171.0672</v>
      </c>
      <c r="F12" s="34">
        <v>1191.219</v>
      </c>
      <c r="G12" s="34">
        <v>2613.7512</v>
      </c>
      <c r="H12" s="34">
        <v>2264.7373</v>
      </c>
      <c r="I12" s="34">
        <v>1355.6071</v>
      </c>
      <c r="J12" s="34"/>
      <c r="K12" s="35">
        <f aca="true" t="shared" si="9" ref="K12:K18">R12/D12</f>
        <v>2682.3170010899235</v>
      </c>
      <c r="L12" s="36">
        <v>2682.32</v>
      </c>
      <c r="M12" s="36">
        <f>L12</f>
        <v>2682.32</v>
      </c>
      <c r="N12" s="36">
        <f>L12</f>
        <v>2682.32</v>
      </c>
      <c r="O12" s="36">
        <f>L12</f>
        <v>2682.32</v>
      </c>
      <c r="P12" s="36">
        <f>L12</f>
        <v>2682.32</v>
      </c>
      <c r="Q12" s="36"/>
      <c r="R12" s="35">
        <f t="shared" si="5"/>
        <v>23058221.049999997</v>
      </c>
      <c r="S12" s="36">
        <v>3141173.46</v>
      </c>
      <c r="T12" s="36">
        <v>3195226.98</v>
      </c>
      <c r="U12" s="36">
        <v>7010909.28</v>
      </c>
      <c r="V12" s="36">
        <v>6074743.36</v>
      </c>
      <c r="W12" s="36">
        <v>3636167.97</v>
      </c>
      <c r="X12" s="36"/>
      <c r="Y12" s="62">
        <f t="shared" si="6"/>
        <v>8419.738470439806</v>
      </c>
      <c r="Z12" s="34">
        <f>AN12/AG12</f>
        <v>1146.4095113346887</v>
      </c>
      <c r="AA12" s="34">
        <f>AO12/AH12</f>
        <v>1124.8226629487065</v>
      </c>
      <c r="AB12" s="34">
        <f>AP12/AI12</f>
        <v>2550.081556721659</v>
      </c>
      <c r="AC12" s="34">
        <f>AQ12/AJ12</f>
        <v>2242.834829356884</v>
      </c>
      <c r="AD12" s="34">
        <f>AR12/AK12</f>
        <v>1355.5899100778681</v>
      </c>
      <c r="AE12" s="34"/>
      <c r="AF12" s="15">
        <f>AG12</f>
        <v>1244.41</v>
      </c>
      <c r="AG12" s="37">
        <v>1244.41</v>
      </c>
      <c r="AH12" s="37">
        <v>1244.41</v>
      </c>
      <c r="AI12" s="37">
        <v>1244.41</v>
      </c>
      <c r="AJ12" s="37">
        <v>1244.41</v>
      </c>
      <c r="AK12" s="37">
        <v>1244.41</v>
      </c>
      <c r="AL12" s="36"/>
      <c r="AM12" s="35">
        <f t="shared" si="7"/>
        <v>10477606.75</v>
      </c>
      <c r="AN12" s="36">
        <f>647059.24+779544.22</f>
        <v>1426603.46</v>
      </c>
      <c r="AO12" s="36">
        <f>629781.48+406962.37+362996.72</f>
        <v>1399740.5699999998</v>
      </c>
      <c r="AP12" s="36">
        <f>1211318.73+1962028.26</f>
        <v>3173346.99</v>
      </c>
      <c r="AQ12" s="36">
        <f>1649340.95+830271.7+294632.24+16761.2</f>
        <v>2791006.09</v>
      </c>
      <c r="AR12" s="36">
        <f>1686909.64</f>
        <v>1686909.64</v>
      </c>
      <c r="AS12" s="36"/>
      <c r="AT12" s="35">
        <f t="shared" si="8"/>
        <v>12360823.354038</v>
      </c>
      <c r="AU12" s="37">
        <f>(L12-AG12)*E12</f>
        <v>1683889.237552</v>
      </c>
      <c r="AV12" s="37">
        <f>(M12-AH12)*F12</f>
        <v>1712865.7122900002</v>
      </c>
      <c r="AW12" s="37">
        <f>(N12-AI12)*G12</f>
        <v>3758338.9879920003</v>
      </c>
      <c r="AX12" s="37">
        <f>(O12-AJ12)*H12</f>
        <v>3256488.411043</v>
      </c>
      <c r="AY12" s="37">
        <f>(P12-AK12)*I12</f>
        <v>1949241.005161</v>
      </c>
      <c r="AZ12" s="37"/>
    </row>
    <row r="13" spans="1:52" ht="63.75" customHeight="1">
      <c r="A13" s="38"/>
      <c r="B13" s="39" t="s">
        <v>42</v>
      </c>
      <c r="C13" s="40"/>
      <c r="D13" s="75">
        <f t="shared" si="4"/>
        <v>139.82205645283938</v>
      </c>
      <c r="E13" s="42"/>
      <c r="F13" s="42"/>
      <c r="G13" s="42"/>
      <c r="H13" s="42"/>
      <c r="I13" s="76">
        <f>W13/P13</f>
        <v>139.82205645283938</v>
      </c>
      <c r="J13" s="42"/>
      <c r="K13" s="14">
        <f t="shared" si="9"/>
        <v>2630.16</v>
      </c>
      <c r="L13" s="13"/>
      <c r="M13" s="13"/>
      <c r="N13" s="13"/>
      <c r="O13" s="13"/>
      <c r="P13" s="13">
        <v>2630.16</v>
      </c>
      <c r="Q13" s="13"/>
      <c r="R13" s="14">
        <f t="shared" si="5"/>
        <v>367754.38</v>
      </c>
      <c r="S13" s="13"/>
      <c r="T13" s="13"/>
      <c r="U13" s="13"/>
      <c r="V13" s="13"/>
      <c r="W13" s="13">
        <v>367754.38</v>
      </c>
      <c r="X13" s="13"/>
      <c r="Y13" s="64">
        <f t="shared" si="6"/>
        <v>139.82224507999774</v>
      </c>
      <c r="Z13" s="65"/>
      <c r="AA13" s="65"/>
      <c r="AB13" s="65"/>
      <c r="AC13" s="65"/>
      <c r="AD13" s="65">
        <f>AR13/AK13</f>
        <v>139.82224507999774</v>
      </c>
      <c r="AE13" s="65"/>
      <c r="AF13" s="14">
        <f>AK13</f>
        <v>1244.41</v>
      </c>
      <c r="AG13" s="13"/>
      <c r="AH13" s="13"/>
      <c r="AI13" s="13"/>
      <c r="AJ13" s="13"/>
      <c r="AK13" s="13">
        <v>1244.41</v>
      </c>
      <c r="AL13" s="13"/>
      <c r="AM13" s="14">
        <f t="shared" si="7"/>
        <v>173996.2</v>
      </c>
      <c r="AN13" s="13"/>
      <c r="AO13" s="13"/>
      <c r="AP13" s="13"/>
      <c r="AQ13" s="13"/>
      <c r="AR13" s="13">
        <v>173996.2</v>
      </c>
      <c r="AS13" s="13"/>
      <c r="AT13" s="14">
        <f t="shared" si="8"/>
        <v>193758.41472952213</v>
      </c>
      <c r="AU13" s="37"/>
      <c r="AV13" s="37"/>
      <c r="AW13" s="37"/>
      <c r="AX13" s="37"/>
      <c r="AY13" s="37">
        <f>(P13-AK13)*I13</f>
        <v>193758.41472952213</v>
      </c>
      <c r="AZ13" s="13"/>
    </row>
    <row r="14" spans="1:52" ht="37.5" customHeight="1">
      <c r="A14" s="38"/>
      <c r="B14" s="54" t="s">
        <v>23</v>
      </c>
      <c r="C14" s="40"/>
      <c r="D14" s="51">
        <f t="shared" si="4"/>
        <v>237.404</v>
      </c>
      <c r="E14" s="45"/>
      <c r="F14" s="52">
        <v>237.404</v>
      </c>
      <c r="G14" s="45"/>
      <c r="H14" s="45"/>
      <c r="I14" s="45"/>
      <c r="J14" s="45"/>
      <c r="K14" s="14">
        <f>R14/D14</f>
        <v>1664.3546022813432</v>
      </c>
      <c r="L14" s="13"/>
      <c r="M14" s="37">
        <v>1664.35</v>
      </c>
      <c r="N14" s="37"/>
      <c r="O14" s="37"/>
      <c r="P14" s="13"/>
      <c r="Q14" s="37"/>
      <c r="R14" s="15">
        <f t="shared" si="5"/>
        <v>395124.44</v>
      </c>
      <c r="S14" s="13"/>
      <c r="T14" s="13">
        <v>395124.44</v>
      </c>
      <c r="U14" s="13"/>
      <c r="V14" s="13"/>
      <c r="W14" s="13"/>
      <c r="X14" s="13"/>
      <c r="Y14" s="67">
        <f t="shared" si="6"/>
        <v>237.4038379633722</v>
      </c>
      <c r="Z14" s="97"/>
      <c r="AA14" s="97">
        <f>AO14/AH14</f>
        <v>237.4038379633722</v>
      </c>
      <c r="AB14" s="97"/>
      <c r="AC14" s="97"/>
      <c r="AD14" s="97"/>
      <c r="AE14" s="97"/>
      <c r="AF14" s="14">
        <f>AH14</f>
        <v>1244.41</v>
      </c>
      <c r="AG14" s="13"/>
      <c r="AH14" s="13">
        <v>1244.41</v>
      </c>
      <c r="AI14" s="13"/>
      <c r="AJ14" s="13"/>
      <c r="AK14" s="13"/>
      <c r="AL14" s="37"/>
      <c r="AM14" s="15">
        <f t="shared" si="7"/>
        <v>295427.71</v>
      </c>
      <c r="AN14" s="13"/>
      <c r="AO14" s="13">
        <v>295427.71</v>
      </c>
      <c r="AP14" s="13"/>
      <c r="AQ14" s="13"/>
      <c r="AR14" s="13"/>
      <c r="AS14" s="13"/>
      <c r="AT14" s="15">
        <f t="shared" si="8"/>
        <v>99695.43575999996</v>
      </c>
      <c r="AU14" s="37"/>
      <c r="AV14" s="37">
        <f>(M14-AH14)*F14</f>
        <v>99695.43575999996</v>
      </c>
      <c r="AW14" s="37"/>
      <c r="AX14" s="37"/>
      <c r="AY14" s="37"/>
      <c r="AZ14" s="13"/>
    </row>
    <row r="15" spans="1:52" ht="35.25" customHeight="1">
      <c r="A15" s="38"/>
      <c r="B15" s="39" t="s">
        <v>18</v>
      </c>
      <c r="C15" s="40"/>
      <c r="D15" s="75">
        <f t="shared" si="4"/>
        <v>20.139969945596707</v>
      </c>
      <c r="E15" s="42"/>
      <c r="F15" s="42"/>
      <c r="G15" s="76">
        <f>U15/N15</f>
        <v>20.139969945596707</v>
      </c>
      <c r="H15" s="42"/>
      <c r="I15" s="42"/>
      <c r="J15" s="42"/>
      <c r="K15" s="14">
        <f>R15/D15</f>
        <v>1244.41</v>
      </c>
      <c r="L15" s="13"/>
      <c r="M15" s="13"/>
      <c r="N15" s="13">
        <v>1244.41</v>
      </c>
      <c r="O15" s="13"/>
      <c r="P15" s="13"/>
      <c r="Q15" s="13"/>
      <c r="R15" s="14">
        <f t="shared" si="5"/>
        <v>25062.38</v>
      </c>
      <c r="S15" s="13"/>
      <c r="T15" s="13"/>
      <c r="U15" s="13">
        <v>25062.38</v>
      </c>
      <c r="V15" s="13"/>
      <c r="W15" s="13"/>
      <c r="X15" s="13"/>
      <c r="Y15" s="64">
        <f t="shared" si="6"/>
        <v>21.650171567248734</v>
      </c>
      <c r="Z15" s="65"/>
      <c r="AA15" s="65"/>
      <c r="AB15" s="65">
        <f>AP15/AI15</f>
        <v>21.650171567248734</v>
      </c>
      <c r="AC15" s="65"/>
      <c r="AD15" s="65"/>
      <c r="AE15" s="65"/>
      <c r="AF15" s="14">
        <f>AI15</f>
        <v>1244.41</v>
      </c>
      <c r="AG15" s="13"/>
      <c r="AH15" s="13"/>
      <c r="AI15" s="13">
        <v>1244.41</v>
      </c>
      <c r="AJ15" s="13"/>
      <c r="AK15" s="13"/>
      <c r="AL15" s="13"/>
      <c r="AM15" s="14">
        <f t="shared" si="7"/>
        <v>26941.69</v>
      </c>
      <c r="AN15" s="13"/>
      <c r="AO15" s="13"/>
      <c r="AP15" s="13">
        <v>26941.69</v>
      </c>
      <c r="AQ15" s="13"/>
      <c r="AR15" s="13"/>
      <c r="AS15" s="13"/>
      <c r="AT15" s="14">
        <f t="shared" si="8"/>
        <v>0</v>
      </c>
      <c r="AU15" s="37"/>
      <c r="AV15" s="37"/>
      <c r="AW15" s="37">
        <f>(N15-AI15)*AB15</f>
        <v>0</v>
      </c>
      <c r="AX15" s="37"/>
      <c r="AY15" s="37"/>
      <c r="AZ15" s="13"/>
    </row>
    <row r="16" spans="1:52" ht="56.25" customHeight="1">
      <c r="A16" s="9"/>
      <c r="B16" s="43" t="s">
        <v>41</v>
      </c>
      <c r="C16" s="32"/>
      <c r="D16" s="44">
        <f t="shared" si="4"/>
        <v>4117.863</v>
      </c>
      <c r="E16" s="45"/>
      <c r="F16" s="46">
        <v>4117.863</v>
      </c>
      <c r="G16" s="45"/>
      <c r="H16" s="45"/>
      <c r="I16" s="45"/>
      <c r="J16" s="45"/>
      <c r="K16" s="14">
        <f t="shared" si="9"/>
        <v>1602.6201600198935</v>
      </c>
      <c r="L16" s="36"/>
      <c r="M16" s="37">
        <v>1602.62</v>
      </c>
      <c r="N16" s="37"/>
      <c r="O16" s="37"/>
      <c r="P16" s="36"/>
      <c r="Q16" s="13"/>
      <c r="R16" s="15">
        <f t="shared" si="5"/>
        <v>6599370.26</v>
      </c>
      <c r="S16" s="36"/>
      <c r="T16" s="36">
        <v>6599370.26</v>
      </c>
      <c r="U16" s="36"/>
      <c r="V16" s="36"/>
      <c r="W16" s="36"/>
      <c r="X16" s="36"/>
      <c r="Y16" s="67">
        <f t="shared" si="6"/>
        <v>4132.0409350615955</v>
      </c>
      <c r="Z16" s="97"/>
      <c r="AA16" s="97">
        <f>AO16/AH16</f>
        <v>4132.0409350615955</v>
      </c>
      <c r="AB16" s="97"/>
      <c r="AC16" s="97"/>
      <c r="AD16" s="97"/>
      <c r="AE16" s="97"/>
      <c r="AF16" s="14">
        <f>AH16</f>
        <v>1244.41</v>
      </c>
      <c r="AG16" s="13"/>
      <c r="AH16" s="13">
        <v>1244.41</v>
      </c>
      <c r="AI16" s="13"/>
      <c r="AJ16" s="13"/>
      <c r="AK16" s="13"/>
      <c r="AL16" s="37"/>
      <c r="AM16" s="15">
        <f t="shared" si="7"/>
        <v>5141953.0600000005</v>
      </c>
      <c r="AN16" s="36"/>
      <c r="AO16" s="36">
        <f>449469.83+4692483.23</f>
        <v>5141953.0600000005</v>
      </c>
      <c r="AP16" s="36"/>
      <c r="AQ16" s="36"/>
      <c r="AR16" s="36"/>
      <c r="AS16" s="13"/>
      <c r="AT16" s="15">
        <f t="shared" si="8"/>
        <v>1475059.7052299993</v>
      </c>
      <c r="AU16" s="37"/>
      <c r="AV16" s="37">
        <f>(M16-AH16)*F16</f>
        <v>1475059.7052299993</v>
      </c>
      <c r="AW16" s="37"/>
      <c r="AX16" s="37"/>
      <c r="AY16" s="37"/>
      <c r="AZ16" s="13"/>
    </row>
    <row r="17" spans="1:52" ht="58.5" customHeight="1">
      <c r="A17" s="38">
        <v>36</v>
      </c>
      <c r="B17" s="39" t="s">
        <v>37</v>
      </c>
      <c r="C17" s="106"/>
      <c r="D17" s="75">
        <f>SUM(E17:J17)</f>
        <v>44.674078656650465</v>
      </c>
      <c r="E17" s="42"/>
      <c r="F17" s="42"/>
      <c r="G17" s="76"/>
      <c r="H17" s="42"/>
      <c r="I17" s="107"/>
      <c r="J17" s="76">
        <f>X17/Q17</f>
        <v>44.674078656650465</v>
      </c>
      <c r="K17" s="14">
        <f t="shared" si="9"/>
        <v>1131.5</v>
      </c>
      <c r="L17" s="108"/>
      <c r="M17" s="13"/>
      <c r="N17" s="13"/>
      <c r="O17" s="13"/>
      <c r="P17" s="13"/>
      <c r="Q17" s="13">
        <v>1131.5</v>
      </c>
      <c r="R17" s="14">
        <f>SUM(S17:X17)</f>
        <v>50548.72</v>
      </c>
      <c r="S17" s="13"/>
      <c r="T17" s="13"/>
      <c r="U17" s="13"/>
      <c r="V17" s="13"/>
      <c r="W17" s="13"/>
      <c r="X17" s="13">
        <v>50548.72</v>
      </c>
      <c r="Y17" s="64">
        <f>AE17</f>
        <v>44.673914980045616</v>
      </c>
      <c r="Z17" s="65"/>
      <c r="AA17" s="65"/>
      <c r="AB17" s="65"/>
      <c r="AC17" s="65"/>
      <c r="AD17" s="65"/>
      <c r="AE17" s="65">
        <f>AS17/AL17</f>
        <v>44.673914980045616</v>
      </c>
      <c r="AF17" s="14">
        <f>AL17</f>
        <v>1122.56</v>
      </c>
      <c r="AG17" s="13"/>
      <c r="AH17" s="13"/>
      <c r="AI17" s="13"/>
      <c r="AJ17" s="13"/>
      <c r="AK17" s="109"/>
      <c r="AL17" s="109">
        <v>1122.56</v>
      </c>
      <c r="AM17" s="14">
        <f>AS17</f>
        <v>50149.15</v>
      </c>
      <c r="AN17" s="13"/>
      <c r="AO17" s="13"/>
      <c r="AP17" s="13"/>
      <c r="AQ17" s="13"/>
      <c r="AR17" s="13"/>
      <c r="AS17" s="13">
        <v>50149.15</v>
      </c>
      <c r="AT17" s="14">
        <f>SUM(AU17:AZ17)</f>
        <v>399.3862631904576</v>
      </c>
      <c r="AU17" s="13"/>
      <c r="AV17" s="13"/>
      <c r="AW17" s="13"/>
      <c r="AX17" s="13"/>
      <c r="AY17" s="13"/>
      <c r="AZ17" s="37">
        <f>(Q17-AL17)*J17</f>
        <v>399.3862631904576</v>
      </c>
    </row>
    <row r="18" spans="1:52" ht="88.5" customHeight="1" thickBot="1">
      <c r="A18" s="30"/>
      <c r="B18" s="31" t="s">
        <v>38</v>
      </c>
      <c r="D18" s="75">
        <f>SUM(E18:J18)</f>
        <v>235.46912618228717</v>
      </c>
      <c r="E18" s="56"/>
      <c r="F18" s="56"/>
      <c r="G18" s="102"/>
      <c r="H18" s="56"/>
      <c r="I18" s="103"/>
      <c r="J18" s="76">
        <f>X18/Q18</f>
        <v>235.46912618228717</v>
      </c>
      <c r="K18" s="14">
        <f t="shared" si="9"/>
        <v>1488.64</v>
      </c>
      <c r="L18" s="104"/>
      <c r="M18" s="36"/>
      <c r="N18" s="36"/>
      <c r="O18" s="36"/>
      <c r="P18" s="36"/>
      <c r="Q18" s="36">
        <v>1488.64</v>
      </c>
      <c r="R18" s="14">
        <f>SUM(S18:X18)</f>
        <v>350528.76</v>
      </c>
      <c r="S18" s="36"/>
      <c r="T18" s="36"/>
      <c r="U18" s="36"/>
      <c r="V18" s="36"/>
      <c r="W18" s="36"/>
      <c r="X18" s="36">
        <v>350528.76</v>
      </c>
      <c r="Y18" s="62">
        <f>AE18</f>
        <v>235.47006841505134</v>
      </c>
      <c r="Z18" s="34"/>
      <c r="AA18" s="34"/>
      <c r="AB18" s="34"/>
      <c r="AC18" s="34"/>
      <c r="AD18" s="34"/>
      <c r="AE18" s="65">
        <f>AS18/AL18</f>
        <v>235.47006841505134</v>
      </c>
      <c r="AF18" s="35">
        <f>AL18</f>
        <v>1122.56</v>
      </c>
      <c r="AG18" s="36"/>
      <c r="AH18" s="36"/>
      <c r="AI18" s="36"/>
      <c r="AJ18" s="36"/>
      <c r="AK18" s="105"/>
      <c r="AL18" s="105">
        <v>1122.56</v>
      </c>
      <c r="AM18" s="35">
        <f>AS18</f>
        <v>264329.28</v>
      </c>
      <c r="AN18" s="36"/>
      <c r="AO18" s="36"/>
      <c r="AP18" s="36"/>
      <c r="AQ18" s="36"/>
      <c r="AR18" s="36"/>
      <c r="AS18" s="36">
        <v>264329.28</v>
      </c>
      <c r="AT18" s="57">
        <f>SUM(AU18:AZ18)</f>
        <v>86200.53771281173</v>
      </c>
      <c r="AU18" s="50"/>
      <c r="AV18" s="50"/>
      <c r="AW18" s="50"/>
      <c r="AX18" s="50"/>
      <c r="AY18" s="50"/>
      <c r="AZ18" s="37">
        <f>(Q18-AL18)*J18</f>
        <v>86200.53771281173</v>
      </c>
    </row>
    <row r="19" spans="1:65" s="29" customFormat="1" ht="43.5" customHeight="1" thickBot="1">
      <c r="A19" s="23">
        <v>2</v>
      </c>
      <c r="B19" s="24" t="s">
        <v>0</v>
      </c>
      <c r="C19" s="58" t="s">
        <v>5</v>
      </c>
      <c r="D19" s="26">
        <f aca="true" t="shared" si="10" ref="D19:J19">SUM(D20:D26)</f>
        <v>28300.916358912666</v>
      </c>
      <c r="E19" s="59">
        <f t="shared" si="10"/>
        <v>610.5529</v>
      </c>
      <c r="F19" s="59">
        <f t="shared" si="10"/>
        <v>11672.828170250566</v>
      </c>
      <c r="G19" s="59">
        <f t="shared" si="10"/>
        <v>9466.9489</v>
      </c>
      <c r="H19" s="59">
        <f t="shared" si="10"/>
        <v>1376.6527</v>
      </c>
      <c r="I19" s="59">
        <f t="shared" si="10"/>
        <v>5092.1554</v>
      </c>
      <c r="J19" s="59">
        <f t="shared" si="10"/>
        <v>81.77828866210609</v>
      </c>
      <c r="K19" s="27">
        <f aca="true" t="shared" si="11" ref="K19:Q19">R19/D19</f>
        <v>149.938741777301</v>
      </c>
      <c r="L19" s="61">
        <f t="shared" si="11"/>
        <v>167.4935292257231</v>
      </c>
      <c r="M19" s="27">
        <f t="shared" si="11"/>
        <v>121.95491951368648</v>
      </c>
      <c r="N19" s="27">
        <f t="shared" si="11"/>
        <v>170.75100827891868</v>
      </c>
      <c r="O19" s="27">
        <f t="shared" si="11"/>
        <v>167.49359515293872</v>
      </c>
      <c r="P19" s="27">
        <f t="shared" si="11"/>
        <v>169.51909205284662</v>
      </c>
      <c r="Q19" s="27">
        <f t="shared" si="11"/>
        <v>89.17</v>
      </c>
      <c r="R19" s="27">
        <f aca="true" t="shared" si="12" ref="R19:AE19">SUM(R20:R26)</f>
        <v>4243403.79</v>
      </c>
      <c r="S19" s="27">
        <f t="shared" si="12"/>
        <v>102263.66</v>
      </c>
      <c r="T19" s="27">
        <f t="shared" si="12"/>
        <v>1423558.82</v>
      </c>
      <c r="U19" s="27">
        <f t="shared" si="12"/>
        <v>1616491.07</v>
      </c>
      <c r="V19" s="27">
        <f t="shared" si="12"/>
        <v>230580.51</v>
      </c>
      <c r="W19" s="27">
        <f t="shared" si="12"/>
        <v>863217.5599999999</v>
      </c>
      <c r="X19" s="27">
        <f t="shared" si="12"/>
        <v>7292.17</v>
      </c>
      <c r="Y19" s="59">
        <f t="shared" si="12"/>
        <v>27154.045137958747</v>
      </c>
      <c r="Z19" s="59">
        <f t="shared" si="12"/>
        <v>610.5529065095097</v>
      </c>
      <c r="AA19" s="59">
        <f t="shared" si="12"/>
        <v>11672.920841146532</v>
      </c>
      <c r="AB19" s="59">
        <f t="shared" si="12"/>
        <v>8300.134610233057</v>
      </c>
      <c r="AC19" s="59">
        <f t="shared" si="12"/>
        <v>1376.6526922046612</v>
      </c>
      <c r="AD19" s="59">
        <f t="shared" si="12"/>
        <v>5112.006964907581</v>
      </c>
      <c r="AE19" s="59">
        <f t="shared" si="12"/>
        <v>81.7771229574069</v>
      </c>
      <c r="AF19" s="27">
        <f>AG19</f>
        <v>74.66</v>
      </c>
      <c r="AG19" s="27">
        <f>AG22</f>
        <v>74.66</v>
      </c>
      <c r="AH19" s="27">
        <f>AH22</f>
        <v>74.66</v>
      </c>
      <c r="AI19" s="27">
        <f>AI22</f>
        <v>74.66</v>
      </c>
      <c r="AJ19" s="27">
        <f>AJ22</f>
        <v>74.66</v>
      </c>
      <c r="AK19" s="28">
        <f>AK22</f>
        <v>74.66</v>
      </c>
      <c r="AL19" s="27">
        <f>AL26</f>
        <v>74.66</v>
      </c>
      <c r="AM19" s="27">
        <f aca="true" t="shared" si="13" ref="AM19:AZ19">SUM(AM20:AM26)</f>
        <v>2027321.01</v>
      </c>
      <c r="AN19" s="27">
        <f t="shared" si="13"/>
        <v>45583.88</v>
      </c>
      <c r="AO19" s="27">
        <f t="shared" si="13"/>
        <v>871500.27</v>
      </c>
      <c r="AP19" s="27">
        <f t="shared" si="13"/>
        <v>619688.0499999999</v>
      </c>
      <c r="AQ19" s="27">
        <f t="shared" si="13"/>
        <v>102780.89</v>
      </c>
      <c r="AR19" s="27">
        <f t="shared" si="13"/>
        <v>381662.44</v>
      </c>
      <c r="AS19" s="27">
        <f t="shared" si="13"/>
        <v>6105.48</v>
      </c>
      <c r="AT19" s="118">
        <f t="shared" si="13"/>
        <v>2130410.37623658</v>
      </c>
      <c r="AU19" s="27">
        <f t="shared" si="13"/>
        <v>56677.62570700001</v>
      </c>
      <c r="AV19" s="27">
        <f t="shared" si="13"/>
        <v>552064.0350570928</v>
      </c>
      <c r="AW19" s="27">
        <f t="shared" si="13"/>
        <v>909652.0872670001</v>
      </c>
      <c r="AX19" s="27">
        <f t="shared" si="13"/>
        <v>127794.67014100002</v>
      </c>
      <c r="AY19" s="27">
        <f t="shared" si="13"/>
        <v>483035.355096</v>
      </c>
      <c r="AZ19" s="27">
        <f t="shared" si="13"/>
        <v>1186.6029684871598</v>
      </c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</row>
    <row r="20" spans="1:52" s="4" customFormat="1" ht="41.25" customHeight="1">
      <c r="A20" s="70"/>
      <c r="B20" s="47" t="s">
        <v>24</v>
      </c>
      <c r="C20" s="47"/>
      <c r="D20" s="64">
        <f aca="true" t="shared" si="14" ref="D20:D25">SUM(E20:I20)</f>
        <v>330.283</v>
      </c>
      <c r="E20" s="69"/>
      <c r="F20" s="69"/>
      <c r="G20" s="69">
        <v>330.283</v>
      </c>
      <c r="H20" s="69"/>
      <c r="I20" s="69"/>
      <c r="J20" s="34"/>
      <c r="K20" s="14">
        <f aca="true" t="shared" si="15" ref="K20:K25">R20/D20</f>
        <v>260.8606558617912</v>
      </c>
      <c r="L20" s="50"/>
      <c r="M20" s="73"/>
      <c r="N20" s="50">
        <v>260.85</v>
      </c>
      <c r="O20" s="50"/>
      <c r="P20" s="50"/>
      <c r="Q20" s="50"/>
      <c r="R20" s="63">
        <f aca="true" t="shared" si="16" ref="R20:R25">SUM(S20:W20)</f>
        <v>86157.84</v>
      </c>
      <c r="S20" s="50"/>
      <c r="T20" s="50"/>
      <c r="U20" s="50">
        <v>86157.84</v>
      </c>
      <c r="V20" s="73"/>
      <c r="W20" s="73"/>
      <c r="X20" s="73"/>
      <c r="Y20" s="100">
        <f aca="true" t="shared" si="17" ref="Y20:Y25">SUM(Z20:AD20)</f>
        <v>330.2834181623359</v>
      </c>
      <c r="Z20" s="98"/>
      <c r="AA20" s="98"/>
      <c r="AB20" s="98">
        <f>AP20/AI20</f>
        <v>330.2834181623359</v>
      </c>
      <c r="AC20" s="98"/>
      <c r="AD20" s="98"/>
      <c r="AE20" s="98"/>
      <c r="AF20" s="63">
        <f>AI20</f>
        <v>74.66</v>
      </c>
      <c r="AG20" s="73"/>
      <c r="AH20" s="73"/>
      <c r="AI20" s="73">
        <v>74.66</v>
      </c>
      <c r="AJ20" s="73"/>
      <c r="AK20" s="73"/>
      <c r="AL20" s="73"/>
      <c r="AM20" s="63">
        <f aca="true" t="shared" si="18" ref="AM20:AM25">SUM(AN20:AR20)</f>
        <v>24658.96</v>
      </c>
      <c r="AN20" s="73"/>
      <c r="AO20" s="73"/>
      <c r="AP20" s="73">
        <v>24658.96</v>
      </c>
      <c r="AQ20" s="73"/>
      <c r="AR20" s="73"/>
      <c r="AS20" s="73"/>
      <c r="AT20" s="63">
        <f aca="true" t="shared" si="19" ref="AT20:AT25">SUM(AU20:AY20)</f>
        <v>61495.39177000001</v>
      </c>
      <c r="AU20" s="73"/>
      <c r="AV20" s="73"/>
      <c r="AW20" s="37">
        <f>(N20-AI20)*G20</f>
        <v>61495.39177000001</v>
      </c>
      <c r="AX20" s="73"/>
      <c r="AY20" s="73"/>
      <c r="AZ20" s="73"/>
    </row>
    <row r="21" spans="1:52" s="4" customFormat="1" ht="58.5" customHeight="1">
      <c r="A21" s="66"/>
      <c r="B21" s="55" t="s">
        <v>43</v>
      </c>
      <c r="C21" s="47"/>
      <c r="D21" s="62">
        <f t="shared" si="14"/>
        <v>383.55</v>
      </c>
      <c r="E21" s="68"/>
      <c r="F21" s="69">
        <v>383.55</v>
      </c>
      <c r="G21" s="69"/>
      <c r="H21" s="69"/>
      <c r="I21" s="69"/>
      <c r="J21" s="69"/>
      <c r="K21" s="57">
        <f t="shared" si="15"/>
        <v>106.17971581280146</v>
      </c>
      <c r="L21" s="50"/>
      <c r="M21" s="36">
        <v>106.18</v>
      </c>
      <c r="N21" s="50"/>
      <c r="O21" s="50"/>
      <c r="P21" s="50"/>
      <c r="Q21" s="50"/>
      <c r="R21" s="35">
        <f t="shared" si="16"/>
        <v>40725.23</v>
      </c>
      <c r="S21" s="50"/>
      <c r="T21" s="50">
        <v>40725.23</v>
      </c>
      <c r="U21" s="50"/>
      <c r="V21" s="36"/>
      <c r="W21" s="36"/>
      <c r="X21" s="36"/>
      <c r="Y21" s="62">
        <f t="shared" si="17"/>
        <v>383.5502276989017</v>
      </c>
      <c r="Z21" s="34"/>
      <c r="AA21" s="34">
        <f>AO21/AH21</f>
        <v>383.5502276989017</v>
      </c>
      <c r="AB21" s="34"/>
      <c r="AC21" s="34"/>
      <c r="AD21" s="34"/>
      <c r="AE21" s="34"/>
      <c r="AF21" s="35">
        <f>AH21</f>
        <v>74.66</v>
      </c>
      <c r="AG21" s="36"/>
      <c r="AH21" s="36">
        <v>74.66</v>
      </c>
      <c r="AI21" s="36"/>
      <c r="AJ21" s="36"/>
      <c r="AK21" s="36"/>
      <c r="AL21" s="36"/>
      <c r="AM21" s="35">
        <f t="shared" si="18"/>
        <v>28635.86</v>
      </c>
      <c r="AN21" s="36"/>
      <c r="AO21" s="36">
        <v>28635.86</v>
      </c>
      <c r="AP21" s="36"/>
      <c r="AQ21" s="36"/>
      <c r="AR21" s="36"/>
      <c r="AS21" s="36"/>
      <c r="AT21" s="35">
        <f t="shared" si="19"/>
        <v>12089.496000000005</v>
      </c>
      <c r="AU21" s="36"/>
      <c r="AV21" s="36">
        <f>(M21-AH21)*F21</f>
        <v>12089.496000000005</v>
      </c>
      <c r="AW21" s="36"/>
      <c r="AX21" s="36"/>
      <c r="AY21" s="36"/>
      <c r="AZ21" s="36"/>
    </row>
    <row r="22" spans="1:52" ht="40.5" customHeight="1">
      <c r="A22" s="9"/>
      <c r="B22" s="39" t="s">
        <v>35</v>
      </c>
      <c r="C22" s="40"/>
      <c r="D22" s="64">
        <f t="shared" si="14"/>
        <v>16521.1301</v>
      </c>
      <c r="E22" s="65">
        <v>610.5529</v>
      </c>
      <c r="F22" s="65">
        <v>826.4562</v>
      </c>
      <c r="G22" s="65">
        <v>9136.6659</v>
      </c>
      <c r="H22" s="65">
        <v>1376.6527</v>
      </c>
      <c r="I22" s="65">
        <v>4570.8024</v>
      </c>
      <c r="J22" s="65"/>
      <c r="K22" s="14">
        <f t="shared" si="15"/>
        <v>168.56191030176564</v>
      </c>
      <c r="L22" s="13">
        <v>167.49</v>
      </c>
      <c r="M22" s="13">
        <f>L22</f>
        <v>167.49</v>
      </c>
      <c r="N22" s="13">
        <f>L22</f>
        <v>167.49</v>
      </c>
      <c r="O22" s="13">
        <f>L22</f>
        <v>167.49</v>
      </c>
      <c r="P22" s="13">
        <f>W22/I22</f>
        <v>171.3549682217722</v>
      </c>
      <c r="Q22" s="13"/>
      <c r="R22" s="14">
        <f t="shared" si="16"/>
        <v>2784833.25</v>
      </c>
      <c r="S22" s="13">
        <v>102263.66</v>
      </c>
      <c r="T22" s="13">
        <v>138426.15</v>
      </c>
      <c r="U22" s="13">
        <v>1530333.23</v>
      </c>
      <c r="V22" s="13">
        <v>230580.51</v>
      </c>
      <c r="W22" s="13">
        <v>783229.7</v>
      </c>
      <c r="X22" s="13"/>
      <c r="Y22" s="64">
        <f t="shared" si="17"/>
        <v>15374.167291722475</v>
      </c>
      <c r="Z22" s="65">
        <f>AN22/AG22</f>
        <v>610.5529065095097</v>
      </c>
      <c r="AA22" s="65">
        <f>AO22/AH22</f>
        <v>826.4562014465578</v>
      </c>
      <c r="AB22" s="65">
        <f>AP22/AI22</f>
        <v>7969.851192070721</v>
      </c>
      <c r="AC22" s="65">
        <f>AQ22/AJ22</f>
        <v>1376.6526922046612</v>
      </c>
      <c r="AD22" s="65">
        <f>AR22/AK22</f>
        <v>4590.654299491026</v>
      </c>
      <c r="AE22" s="65"/>
      <c r="AF22" s="14">
        <f>AG22</f>
        <v>74.66</v>
      </c>
      <c r="AG22" s="13">
        <v>74.66</v>
      </c>
      <c r="AH22" s="13">
        <v>74.66</v>
      </c>
      <c r="AI22" s="13">
        <v>74.66</v>
      </c>
      <c r="AJ22" s="13">
        <v>74.66</v>
      </c>
      <c r="AK22" s="13">
        <v>74.66</v>
      </c>
      <c r="AL22" s="13"/>
      <c r="AM22" s="14">
        <f t="shared" si="18"/>
        <v>1147835.33</v>
      </c>
      <c r="AN22" s="13">
        <f>45583.88</f>
        <v>45583.88</v>
      </c>
      <c r="AO22" s="13">
        <f>61703.22</f>
        <v>61703.22</v>
      </c>
      <c r="AP22" s="13">
        <f>245425.53+350614.56-1011</f>
        <v>595029.09</v>
      </c>
      <c r="AQ22" s="13">
        <f>5705.41+97075.48</f>
        <v>102780.89</v>
      </c>
      <c r="AR22" s="13">
        <f>342883.82-145.57</f>
        <v>342738.25</v>
      </c>
      <c r="AS22" s="13"/>
      <c r="AT22" s="14">
        <f t="shared" si="19"/>
        <v>1551322.5132070002</v>
      </c>
      <c r="AU22" s="13">
        <f>(L22-AG22)*E22</f>
        <v>56677.62570700001</v>
      </c>
      <c r="AV22" s="13">
        <f>(M22-AH22)*F22</f>
        <v>76719.929046</v>
      </c>
      <c r="AW22" s="13">
        <f>(N22-AI22)*G22</f>
        <v>848156.6954970001</v>
      </c>
      <c r="AX22" s="13">
        <f>(O22-AJ22)*H22</f>
        <v>127794.67014100002</v>
      </c>
      <c r="AY22" s="13">
        <f>(P22-AK22)*I22</f>
        <v>441973.59281600005</v>
      </c>
      <c r="AZ22" s="13"/>
    </row>
    <row r="23" spans="1:52" s="4" customFormat="1" ht="42" customHeight="1">
      <c r="A23" s="66"/>
      <c r="B23" s="39" t="s">
        <v>23</v>
      </c>
      <c r="C23" s="39"/>
      <c r="D23" s="64">
        <f t="shared" si="14"/>
        <v>403.887</v>
      </c>
      <c r="E23" s="65"/>
      <c r="F23" s="65">
        <v>403.887</v>
      </c>
      <c r="G23" s="65"/>
      <c r="H23" s="65"/>
      <c r="I23" s="65"/>
      <c r="J23" s="65"/>
      <c r="K23" s="14">
        <f t="shared" si="15"/>
        <v>109.12638931186198</v>
      </c>
      <c r="L23" s="13"/>
      <c r="M23" s="13">
        <v>109.13</v>
      </c>
      <c r="N23" s="13"/>
      <c r="O23" s="13"/>
      <c r="P23" s="13"/>
      <c r="Q23" s="13"/>
      <c r="R23" s="14">
        <f t="shared" si="16"/>
        <v>44074.73</v>
      </c>
      <c r="S23" s="13"/>
      <c r="T23" s="13">
        <v>44074.73</v>
      </c>
      <c r="U23" s="13"/>
      <c r="V23" s="13"/>
      <c r="W23" s="13"/>
      <c r="X23" s="13"/>
      <c r="Y23" s="64">
        <f t="shared" si="17"/>
        <v>403.88722207339947</v>
      </c>
      <c r="Z23" s="65"/>
      <c r="AA23" s="65">
        <f>AO23/AH23</f>
        <v>403.88722207339947</v>
      </c>
      <c r="AB23" s="65"/>
      <c r="AC23" s="65"/>
      <c r="AD23" s="65"/>
      <c r="AE23" s="65"/>
      <c r="AF23" s="14">
        <f>AH23</f>
        <v>74.66</v>
      </c>
      <c r="AG23" s="13"/>
      <c r="AH23" s="13">
        <v>74.66</v>
      </c>
      <c r="AI23" s="13"/>
      <c r="AJ23" s="13"/>
      <c r="AK23" s="13"/>
      <c r="AL23" s="13"/>
      <c r="AM23" s="14">
        <f t="shared" si="18"/>
        <v>30154.22</v>
      </c>
      <c r="AN23" s="13"/>
      <c r="AO23" s="13">
        <v>30154.22</v>
      </c>
      <c r="AP23" s="13"/>
      <c r="AQ23" s="13"/>
      <c r="AR23" s="13"/>
      <c r="AS23" s="13"/>
      <c r="AT23" s="14">
        <f t="shared" si="19"/>
        <v>13921.98489</v>
      </c>
      <c r="AU23" s="13"/>
      <c r="AV23" s="37">
        <f>(M23-AH23)*F23</f>
        <v>13921.98489</v>
      </c>
      <c r="AW23" s="13"/>
      <c r="AX23" s="13"/>
      <c r="AY23" s="13"/>
      <c r="AZ23" s="13"/>
    </row>
    <row r="24" spans="1:52" s="4" customFormat="1" ht="57" customHeight="1">
      <c r="A24" s="66"/>
      <c r="B24" s="43" t="s">
        <v>41</v>
      </c>
      <c r="C24" s="43"/>
      <c r="D24" s="67">
        <f t="shared" si="14"/>
        <v>10058.934970250566</v>
      </c>
      <c r="E24" s="34"/>
      <c r="F24" s="97">
        <f>T24/M24</f>
        <v>10058.934970250566</v>
      </c>
      <c r="G24" s="34"/>
      <c r="H24" s="34"/>
      <c r="I24" s="97"/>
      <c r="J24" s="97"/>
      <c r="K24" s="15">
        <f t="shared" si="15"/>
        <v>119.33</v>
      </c>
      <c r="L24" s="37"/>
      <c r="M24" s="37">
        <v>119.33</v>
      </c>
      <c r="N24" s="37"/>
      <c r="O24" s="37"/>
      <c r="P24" s="37"/>
      <c r="Q24" s="37"/>
      <c r="R24" s="15">
        <f t="shared" si="16"/>
        <v>1200332.71</v>
      </c>
      <c r="S24" s="37"/>
      <c r="T24" s="37">
        <v>1200332.71</v>
      </c>
      <c r="U24" s="37"/>
      <c r="V24" s="37"/>
      <c r="W24" s="37"/>
      <c r="X24" s="37"/>
      <c r="Y24" s="67">
        <f t="shared" si="17"/>
        <v>10059.027189927672</v>
      </c>
      <c r="Z24" s="97"/>
      <c r="AA24" s="97">
        <f>AO24/AH24</f>
        <v>10059.027189927672</v>
      </c>
      <c r="AB24" s="97"/>
      <c r="AC24" s="97"/>
      <c r="AD24" s="97"/>
      <c r="AE24" s="97"/>
      <c r="AF24" s="15">
        <f>AH24</f>
        <v>74.66</v>
      </c>
      <c r="AG24" s="37"/>
      <c r="AH24" s="37">
        <v>74.66</v>
      </c>
      <c r="AI24" s="37"/>
      <c r="AJ24" s="37"/>
      <c r="AK24" s="37"/>
      <c r="AL24" s="37"/>
      <c r="AM24" s="15">
        <f t="shared" si="18"/>
        <v>751006.97</v>
      </c>
      <c r="AN24" s="37"/>
      <c r="AO24" s="36">
        <f>47390.06+703616.91</f>
        <v>751006.97</v>
      </c>
      <c r="AP24" s="37"/>
      <c r="AQ24" s="37"/>
      <c r="AR24" s="37"/>
      <c r="AS24" s="37"/>
      <c r="AT24" s="15">
        <f t="shared" si="19"/>
        <v>449332.6251210928</v>
      </c>
      <c r="AU24" s="37"/>
      <c r="AV24" s="37">
        <f>(M24-AH24)*F24</f>
        <v>449332.6251210928</v>
      </c>
      <c r="AW24" s="37"/>
      <c r="AX24" s="37"/>
      <c r="AY24" s="37"/>
      <c r="AZ24" s="37"/>
    </row>
    <row r="25" spans="1:52" ht="65.25" customHeight="1">
      <c r="A25" s="9"/>
      <c r="B25" s="39" t="s">
        <v>42</v>
      </c>
      <c r="C25" s="40"/>
      <c r="D25" s="64">
        <f t="shared" si="14"/>
        <v>521.353</v>
      </c>
      <c r="E25" s="65"/>
      <c r="F25" s="65"/>
      <c r="G25" s="65"/>
      <c r="H25" s="65"/>
      <c r="I25" s="65">
        <v>521.353</v>
      </c>
      <c r="J25" s="65"/>
      <c r="K25" s="14">
        <f t="shared" si="15"/>
        <v>153.4236112576316</v>
      </c>
      <c r="L25" s="13"/>
      <c r="M25" s="13"/>
      <c r="N25" s="13"/>
      <c r="O25" s="13"/>
      <c r="P25" s="13">
        <v>153.42</v>
      </c>
      <c r="Q25" s="13"/>
      <c r="R25" s="14">
        <f t="shared" si="16"/>
        <v>79987.86</v>
      </c>
      <c r="S25" s="13"/>
      <c r="T25" s="13"/>
      <c r="U25" s="13"/>
      <c r="V25" s="13"/>
      <c r="W25" s="13">
        <v>79987.86</v>
      </c>
      <c r="X25" s="13"/>
      <c r="Y25" s="64">
        <f t="shared" si="17"/>
        <v>521.352665416555</v>
      </c>
      <c r="Z25" s="65"/>
      <c r="AA25" s="65"/>
      <c r="AB25" s="65"/>
      <c r="AC25" s="65"/>
      <c r="AD25" s="65">
        <f>AR25/AK25</f>
        <v>521.352665416555</v>
      </c>
      <c r="AE25" s="65"/>
      <c r="AF25" s="14">
        <f>AK25</f>
        <v>74.66</v>
      </c>
      <c r="AG25" s="13"/>
      <c r="AH25" s="13"/>
      <c r="AI25" s="13"/>
      <c r="AJ25" s="13"/>
      <c r="AK25" s="37">
        <v>74.66</v>
      </c>
      <c r="AL25" s="13"/>
      <c r="AM25" s="14">
        <f t="shared" si="18"/>
        <v>38924.19</v>
      </c>
      <c r="AN25" s="13"/>
      <c r="AO25" s="13"/>
      <c r="AP25" s="13"/>
      <c r="AQ25" s="13"/>
      <c r="AR25" s="13">
        <v>38924.19</v>
      </c>
      <c r="AS25" s="13"/>
      <c r="AT25" s="14">
        <f t="shared" si="19"/>
        <v>41061.76227999999</v>
      </c>
      <c r="AU25" s="37"/>
      <c r="AV25" s="37"/>
      <c r="AW25" s="37"/>
      <c r="AX25" s="37"/>
      <c r="AY25" s="37">
        <f>(P25-AK25)*I25</f>
        <v>41061.76227999999</v>
      </c>
      <c r="AZ25" s="13"/>
    </row>
    <row r="26" spans="1:52" ht="58.5" customHeight="1" thickBot="1">
      <c r="A26" s="38">
        <v>36</v>
      </c>
      <c r="B26" s="39" t="s">
        <v>37</v>
      </c>
      <c r="C26" s="106"/>
      <c r="D26" s="62">
        <f>SUM(E26:J26)</f>
        <v>81.77828866210609</v>
      </c>
      <c r="E26" s="42"/>
      <c r="F26" s="42"/>
      <c r="G26" s="76"/>
      <c r="H26" s="42"/>
      <c r="I26" s="107"/>
      <c r="J26" s="69">
        <f>X26/Q26</f>
        <v>81.77828866210609</v>
      </c>
      <c r="K26" s="35">
        <f aca="true" t="shared" si="20" ref="K26:K45">R26/D26</f>
        <v>89.17</v>
      </c>
      <c r="L26" s="108"/>
      <c r="M26" s="13"/>
      <c r="N26" s="13"/>
      <c r="O26" s="13"/>
      <c r="P26" s="13"/>
      <c r="Q26" s="13">
        <v>89.17</v>
      </c>
      <c r="R26" s="57">
        <f>SUM(S26:X26)</f>
        <v>7292.17</v>
      </c>
      <c r="S26" s="13"/>
      <c r="T26" s="13"/>
      <c r="U26" s="13"/>
      <c r="V26" s="13"/>
      <c r="W26" s="13"/>
      <c r="X26" s="13">
        <v>7292.17</v>
      </c>
      <c r="Y26" s="64">
        <f>AE26</f>
        <v>81.7771229574069</v>
      </c>
      <c r="Z26" s="65"/>
      <c r="AA26" s="65"/>
      <c r="AB26" s="65"/>
      <c r="AC26" s="65"/>
      <c r="AD26" s="65"/>
      <c r="AE26" s="65">
        <f>AS26/AL26</f>
        <v>81.7771229574069</v>
      </c>
      <c r="AF26" s="14">
        <f>AL26</f>
        <v>74.66</v>
      </c>
      <c r="AG26" s="13"/>
      <c r="AH26" s="13"/>
      <c r="AI26" s="13"/>
      <c r="AJ26" s="13"/>
      <c r="AK26" s="109"/>
      <c r="AL26" s="109">
        <v>74.66</v>
      </c>
      <c r="AM26" s="14">
        <f>AS26</f>
        <v>6105.48</v>
      </c>
      <c r="AN26" s="13"/>
      <c r="AO26" s="13"/>
      <c r="AP26" s="13"/>
      <c r="AQ26" s="13"/>
      <c r="AR26" s="13"/>
      <c r="AS26" s="13">
        <v>6105.48</v>
      </c>
      <c r="AT26" s="57">
        <f>SUM(AU26:AZ26)</f>
        <v>1186.6029684871598</v>
      </c>
      <c r="AU26" s="36"/>
      <c r="AV26" s="36"/>
      <c r="AW26" s="36"/>
      <c r="AX26" s="36"/>
      <c r="AY26" s="36"/>
      <c r="AZ26" s="37">
        <f>(Q26-AL26)*J26</f>
        <v>1186.6029684871598</v>
      </c>
    </row>
    <row r="27" spans="1:65" s="29" customFormat="1" ht="43.5" customHeight="1" thickBot="1">
      <c r="A27" s="23">
        <v>3</v>
      </c>
      <c r="B27" s="24" t="s">
        <v>1</v>
      </c>
      <c r="C27" s="24" t="s">
        <v>5</v>
      </c>
      <c r="D27" s="71">
        <f aca="true" t="shared" si="21" ref="D27:J27">SUM(D28:D36)</f>
        <v>76310.84368159204</v>
      </c>
      <c r="E27" s="71">
        <f t="shared" si="21"/>
        <v>8817.57</v>
      </c>
      <c r="F27" s="71">
        <f t="shared" si="21"/>
        <v>32497.183681592043</v>
      </c>
      <c r="G27" s="71">
        <f t="shared" si="21"/>
        <v>15443.78</v>
      </c>
      <c r="H27" s="71">
        <f t="shared" si="21"/>
        <v>10381.33</v>
      </c>
      <c r="I27" s="71">
        <f t="shared" si="21"/>
        <v>8391.28</v>
      </c>
      <c r="J27" s="71">
        <f t="shared" si="21"/>
        <v>779.7</v>
      </c>
      <c r="K27" s="28">
        <f t="shared" si="20"/>
        <v>22.957075239656838</v>
      </c>
      <c r="L27" s="28">
        <f aca="true" t="shared" si="22" ref="L27:Q27">S27/E27</f>
        <v>24.799209986424835</v>
      </c>
      <c r="M27" s="28">
        <f t="shared" si="22"/>
        <v>25.059203836832445</v>
      </c>
      <c r="N27" s="28">
        <f t="shared" si="22"/>
        <v>20.41213291046622</v>
      </c>
      <c r="O27" s="28">
        <f t="shared" si="22"/>
        <v>19.95379975398143</v>
      </c>
      <c r="P27" s="28">
        <f t="shared" si="22"/>
        <v>20.750740053960776</v>
      </c>
      <c r="Q27" s="28">
        <f t="shared" si="22"/>
        <v>28.65040400153905</v>
      </c>
      <c r="R27" s="28">
        <f aca="true" t="shared" si="23" ref="R27:AE27">SUM(R28:R36)</f>
        <v>1751873.78</v>
      </c>
      <c r="S27" s="28">
        <f t="shared" si="23"/>
        <v>218668.77000000002</v>
      </c>
      <c r="T27" s="28">
        <f t="shared" si="23"/>
        <v>814353.55</v>
      </c>
      <c r="U27" s="28">
        <f t="shared" si="23"/>
        <v>315240.49</v>
      </c>
      <c r="V27" s="28">
        <f t="shared" si="23"/>
        <v>207146.98</v>
      </c>
      <c r="W27" s="28">
        <f t="shared" si="23"/>
        <v>174125.27</v>
      </c>
      <c r="X27" s="28">
        <f t="shared" si="23"/>
        <v>22338.72</v>
      </c>
      <c r="Y27" s="60">
        <f t="shared" si="23"/>
        <v>76933.43017541795</v>
      </c>
      <c r="Z27" s="60">
        <f t="shared" si="23"/>
        <v>8863.214140386572</v>
      </c>
      <c r="AA27" s="60">
        <f t="shared" si="23"/>
        <v>32540.922177009157</v>
      </c>
      <c r="AB27" s="60">
        <f t="shared" si="23"/>
        <v>15469.987386478304</v>
      </c>
      <c r="AC27" s="60">
        <f t="shared" si="23"/>
        <v>10790.75849822425</v>
      </c>
      <c r="AD27" s="60">
        <f t="shared" si="23"/>
        <v>8488.831195484867</v>
      </c>
      <c r="AE27" s="60">
        <f t="shared" si="23"/>
        <v>779.7167778347872</v>
      </c>
      <c r="AF27" s="28">
        <f aca="true" t="shared" si="24" ref="AF27:AF45">AM27/Y27</f>
        <v>19.678705558142955</v>
      </c>
      <c r="AG27" s="28">
        <f>AG32</f>
        <v>19.66</v>
      </c>
      <c r="AH27" s="101">
        <f>AO27/AA27</f>
        <v>19.659999999999997</v>
      </c>
      <c r="AI27" s="101">
        <f>AI32</f>
        <v>19.82</v>
      </c>
      <c r="AJ27" s="101">
        <f>AJ32</f>
        <v>19.71</v>
      </c>
      <c r="AK27" s="101">
        <f>AK32</f>
        <v>19.49</v>
      </c>
      <c r="AL27" s="101">
        <f>AL33</f>
        <v>19.49</v>
      </c>
      <c r="AM27" s="101">
        <f aca="true" t="shared" si="25" ref="AM27:AZ27">SUM(AM28:AM36)</f>
        <v>1513950.32</v>
      </c>
      <c r="AN27" s="119">
        <f t="shared" si="25"/>
        <v>174250.79</v>
      </c>
      <c r="AO27" s="119">
        <f t="shared" si="25"/>
        <v>639754.5299999999</v>
      </c>
      <c r="AP27" s="119">
        <f t="shared" si="25"/>
        <v>306615.14999999997</v>
      </c>
      <c r="AQ27" s="119">
        <f t="shared" si="25"/>
        <v>212685.84999999998</v>
      </c>
      <c r="AR27" s="119">
        <f t="shared" si="25"/>
        <v>165447.32</v>
      </c>
      <c r="AS27" s="119">
        <f t="shared" si="25"/>
        <v>15196.68</v>
      </c>
      <c r="AT27" s="118">
        <f t="shared" si="25"/>
        <v>249996.78061990044</v>
      </c>
      <c r="AU27" s="28">
        <f t="shared" si="25"/>
        <v>45298.4068</v>
      </c>
      <c r="AV27" s="28">
        <f t="shared" si="25"/>
        <v>175429.76121990045</v>
      </c>
      <c r="AW27" s="28">
        <f t="shared" si="25"/>
        <v>9088.110799999984</v>
      </c>
      <c r="AX27" s="28">
        <f t="shared" si="25"/>
        <v>2491.519199999984</v>
      </c>
      <c r="AY27" s="28">
        <f t="shared" si="25"/>
        <v>10546.930600000007</v>
      </c>
      <c r="AZ27" s="28">
        <f t="shared" si="25"/>
        <v>7142.052000000001</v>
      </c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</row>
    <row r="28" spans="1:52" ht="51" customHeight="1">
      <c r="A28" s="74"/>
      <c r="B28" s="47" t="s">
        <v>20</v>
      </c>
      <c r="C28" s="32"/>
      <c r="D28" s="75">
        <f aca="true" t="shared" si="26" ref="D28:D36">SUM(E28:J28)</f>
        <v>152.03</v>
      </c>
      <c r="E28" s="76">
        <v>152.03</v>
      </c>
      <c r="F28" s="76"/>
      <c r="G28" s="76"/>
      <c r="H28" s="76"/>
      <c r="I28" s="76"/>
      <c r="J28" s="76"/>
      <c r="K28" s="14">
        <f>R28/D28</f>
        <v>34.998816023153324</v>
      </c>
      <c r="L28" s="37">
        <v>35</v>
      </c>
      <c r="M28" s="36"/>
      <c r="N28" s="36"/>
      <c r="O28" s="37"/>
      <c r="P28" s="37"/>
      <c r="Q28" s="37"/>
      <c r="R28" s="14">
        <f aca="true" t="shared" si="27" ref="R28:R36">SUM(S28:X28)</f>
        <v>5320.87</v>
      </c>
      <c r="S28" s="36">
        <v>5320.87</v>
      </c>
      <c r="T28" s="36"/>
      <c r="U28" s="36"/>
      <c r="V28" s="13"/>
      <c r="W28" s="13"/>
      <c r="X28" s="13"/>
      <c r="Y28" s="64">
        <f>SUM(Z28:AD28)</f>
        <v>152.03306205493385</v>
      </c>
      <c r="Z28" s="65">
        <f>AN28/AG28</f>
        <v>152.03306205493385</v>
      </c>
      <c r="AA28" s="65"/>
      <c r="AB28" s="65"/>
      <c r="AC28" s="65"/>
      <c r="AD28" s="65"/>
      <c r="AE28" s="65"/>
      <c r="AF28" s="14">
        <f>AM28/Y28</f>
        <v>19.660000000000004</v>
      </c>
      <c r="AG28" s="13">
        <v>19.66</v>
      </c>
      <c r="AH28" s="13"/>
      <c r="AI28" s="13"/>
      <c r="AJ28" s="13"/>
      <c r="AK28" s="13"/>
      <c r="AL28" s="13"/>
      <c r="AM28" s="14">
        <f>SUM(AN28:AR28)</f>
        <v>2988.97</v>
      </c>
      <c r="AN28" s="36">
        <v>2988.97</v>
      </c>
      <c r="AO28" s="36"/>
      <c r="AP28" s="36"/>
      <c r="AQ28" s="13"/>
      <c r="AR28" s="13"/>
      <c r="AS28" s="13"/>
      <c r="AT28" s="14">
        <f>SUM(AU28:AY28)</f>
        <v>2332.1402</v>
      </c>
      <c r="AU28" s="37">
        <f>(L28-AG28)*E28</f>
        <v>2332.1402</v>
      </c>
      <c r="AV28" s="37"/>
      <c r="AW28" s="37"/>
      <c r="AX28" s="37"/>
      <c r="AY28" s="37"/>
      <c r="AZ28" s="13"/>
    </row>
    <row r="29" spans="1:52" ht="54" customHeight="1">
      <c r="A29" s="74"/>
      <c r="B29" s="47" t="s">
        <v>21</v>
      </c>
      <c r="C29" s="48"/>
      <c r="D29" s="75">
        <f t="shared" si="26"/>
        <v>443.94</v>
      </c>
      <c r="E29" s="76"/>
      <c r="F29" s="76"/>
      <c r="G29" s="76">
        <v>443.94</v>
      </c>
      <c r="H29" s="76"/>
      <c r="I29" s="76"/>
      <c r="J29" s="76"/>
      <c r="K29" s="14">
        <f>R29/D29</f>
        <v>33.75978735865207</v>
      </c>
      <c r="L29" s="37"/>
      <c r="M29" s="13"/>
      <c r="N29" s="50">
        <v>33.76</v>
      </c>
      <c r="O29" s="37"/>
      <c r="P29" s="37"/>
      <c r="Q29" s="37"/>
      <c r="R29" s="14">
        <f t="shared" si="27"/>
        <v>14987.32</v>
      </c>
      <c r="S29" s="50"/>
      <c r="T29" s="50"/>
      <c r="U29" s="50">
        <v>14987.32</v>
      </c>
      <c r="V29" s="36"/>
      <c r="W29" s="36"/>
      <c r="X29" s="13"/>
      <c r="Y29" s="67">
        <f>SUM(Z29:AD29)</f>
        <v>443.94248234106965</v>
      </c>
      <c r="Z29" s="97"/>
      <c r="AA29" s="97"/>
      <c r="AB29" s="97">
        <f>AP29/AI29</f>
        <v>443.94248234106965</v>
      </c>
      <c r="AC29" s="97"/>
      <c r="AD29" s="97"/>
      <c r="AE29" s="97"/>
      <c r="AF29" s="14">
        <f>AM29/Y29</f>
        <v>19.82</v>
      </c>
      <c r="AG29" s="13"/>
      <c r="AH29" s="13"/>
      <c r="AI29" s="13">
        <v>19.82</v>
      </c>
      <c r="AJ29" s="13"/>
      <c r="AK29" s="13"/>
      <c r="AL29" s="37"/>
      <c r="AM29" s="15">
        <f>SUM(AN29:AR29)</f>
        <v>8798.94</v>
      </c>
      <c r="AN29" s="50"/>
      <c r="AO29" s="50"/>
      <c r="AP29" s="50">
        <v>8798.94</v>
      </c>
      <c r="AQ29" s="36"/>
      <c r="AR29" s="36"/>
      <c r="AS29" s="13"/>
      <c r="AT29" s="14">
        <f>SUM(AU29:AY29)</f>
        <v>6188.523599999999</v>
      </c>
      <c r="AU29" s="37"/>
      <c r="AV29" s="37"/>
      <c r="AW29" s="37">
        <f>(N29-AI29)*G29</f>
        <v>6188.523599999999</v>
      </c>
      <c r="AX29" s="37"/>
      <c r="AY29" s="37"/>
      <c r="AZ29" s="13"/>
    </row>
    <row r="30" spans="1:52" ht="59.25" customHeight="1">
      <c r="A30" s="38"/>
      <c r="B30" s="54" t="s">
        <v>39</v>
      </c>
      <c r="C30" s="40"/>
      <c r="D30" s="75">
        <f t="shared" si="26"/>
        <v>8296.263681592041</v>
      </c>
      <c r="E30" s="76"/>
      <c r="F30" s="65">
        <f>T30/M30</f>
        <v>8296.263681592041</v>
      </c>
      <c r="G30" s="76"/>
      <c r="H30" s="76"/>
      <c r="I30" s="76"/>
      <c r="J30" s="76"/>
      <c r="K30" s="14">
        <f>R30/D30</f>
        <v>22.109999999999996</v>
      </c>
      <c r="L30" s="13"/>
      <c r="M30" s="37">
        <v>22.11</v>
      </c>
      <c r="N30" s="13"/>
      <c r="O30" s="37"/>
      <c r="P30" s="37"/>
      <c r="Q30" s="37"/>
      <c r="R30" s="14">
        <f t="shared" si="27"/>
        <v>183430.39</v>
      </c>
      <c r="S30" s="13"/>
      <c r="T30" s="13">
        <v>183430.39</v>
      </c>
      <c r="U30" s="13"/>
      <c r="V30" s="13"/>
      <c r="W30" s="13"/>
      <c r="X30" s="37"/>
      <c r="Y30" s="67">
        <f>SUM(Z30:AD30)</f>
        <v>8300.717700915566</v>
      </c>
      <c r="Z30" s="97"/>
      <c r="AA30" s="97">
        <f>AO30/AH30</f>
        <v>8300.717700915566</v>
      </c>
      <c r="AB30" s="97"/>
      <c r="AC30" s="97"/>
      <c r="AD30" s="97"/>
      <c r="AE30" s="97"/>
      <c r="AF30" s="14">
        <f>AM30/Y30</f>
        <v>19.66</v>
      </c>
      <c r="AG30" s="37"/>
      <c r="AH30" s="37">
        <v>19.66</v>
      </c>
      <c r="AI30" s="37"/>
      <c r="AJ30" s="37"/>
      <c r="AK30" s="37"/>
      <c r="AL30" s="37"/>
      <c r="AM30" s="15">
        <f>SUM(AN30:AR30)</f>
        <v>163192.11000000002</v>
      </c>
      <c r="AN30" s="13"/>
      <c r="AO30" s="13">
        <f>162897.66+294.45</f>
        <v>163192.11000000002</v>
      </c>
      <c r="AP30" s="13"/>
      <c r="AQ30" s="13"/>
      <c r="AR30" s="13"/>
      <c r="AS30" s="37"/>
      <c r="AT30" s="15">
        <f>SUM(AU30:AY30)</f>
        <v>20325.846019900495</v>
      </c>
      <c r="AU30" s="37"/>
      <c r="AV30" s="37">
        <f>(M30-AH30)*F30</f>
        <v>20325.846019900495</v>
      </c>
      <c r="AW30" s="37"/>
      <c r="AX30" s="37"/>
      <c r="AY30" s="37"/>
      <c r="AZ30" s="13"/>
    </row>
    <row r="31" spans="1:52" ht="35.25" customHeight="1">
      <c r="A31" s="38"/>
      <c r="B31" s="39" t="s">
        <v>22</v>
      </c>
      <c r="C31" s="40"/>
      <c r="D31" s="75">
        <f t="shared" si="26"/>
        <v>119.9</v>
      </c>
      <c r="E31" s="76"/>
      <c r="F31" s="76"/>
      <c r="G31" s="77">
        <v>119.9</v>
      </c>
      <c r="H31" s="76"/>
      <c r="I31" s="76"/>
      <c r="J31" s="76"/>
      <c r="K31" s="14">
        <f>R31/D31</f>
        <v>27.87164303586322</v>
      </c>
      <c r="L31" s="13"/>
      <c r="M31" s="122"/>
      <c r="N31" s="13">
        <v>27.87</v>
      </c>
      <c r="O31" s="13"/>
      <c r="P31" s="13"/>
      <c r="Q31" s="13"/>
      <c r="R31" s="14">
        <f t="shared" si="27"/>
        <v>3341.81</v>
      </c>
      <c r="S31" s="13"/>
      <c r="T31" s="13"/>
      <c r="U31" s="13">
        <v>3341.81</v>
      </c>
      <c r="V31" s="13"/>
      <c r="W31" s="13"/>
      <c r="X31" s="13"/>
      <c r="Y31" s="64">
        <f>SUM(Z31:AD31)</f>
        <v>120.59989909182643</v>
      </c>
      <c r="Z31" s="65"/>
      <c r="AA31" s="65"/>
      <c r="AB31" s="65">
        <f>AP31/AI31</f>
        <v>120.59989909182643</v>
      </c>
      <c r="AC31" s="65"/>
      <c r="AD31" s="65"/>
      <c r="AE31" s="65"/>
      <c r="AF31" s="14">
        <f>AM31/Y31</f>
        <v>19.82</v>
      </c>
      <c r="AG31" s="13"/>
      <c r="AH31" s="13"/>
      <c r="AI31" s="13">
        <v>19.82</v>
      </c>
      <c r="AJ31" s="13"/>
      <c r="AK31" s="13"/>
      <c r="AL31" s="13"/>
      <c r="AM31" s="14">
        <f>SUM(AN31:AR31)</f>
        <v>2390.29</v>
      </c>
      <c r="AN31" s="13"/>
      <c r="AO31" s="13"/>
      <c r="AP31" s="13">
        <v>2390.29</v>
      </c>
      <c r="AQ31" s="13"/>
      <c r="AR31" s="13"/>
      <c r="AS31" s="13"/>
      <c r="AT31" s="15">
        <f>SUM(AU31:AY31)</f>
        <v>965.1950000000002</v>
      </c>
      <c r="AU31" s="37"/>
      <c r="AV31" s="37"/>
      <c r="AW31" s="37">
        <f>(N31-AI31)*G31</f>
        <v>965.1950000000002</v>
      </c>
      <c r="AX31" s="37"/>
      <c r="AY31" s="37"/>
      <c r="AZ31" s="13"/>
    </row>
    <row r="32" spans="1:52" ht="42" customHeight="1">
      <c r="A32" s="9"/>
      <c r="B32" s="43" t="s">
        <v>25</v>
      </c>
      <c r="C32" s="32"/>
      <c r="D32" s="75">
        <f t="shared" si="26"/>
        <v>43236.46</v>
      </c>
      <c r="E32" s="34">
        <v>4015.74</v>
      </c>
      <c r="F32" s="34">
        <v>6548.66</v>
      </c>
      <c r="G32" s="34">
        <v>14879.94</v>
      </c>
      <c r="H32" s="34">
        <v>10381.33</v>
      </c>
      <c r="I32" s="34">
        <v>7410.79</v>
      </c>
      <c r="J32" s="96"/>
      <c r="K32" s="120">
        <f t="shared" si="20"/>
        <v>19.95379987168237</v>
      </c>
      <c r="L32" s="36">
        <v>19.95</v>
      </c>
      <c r="M32" s="36">
        <v>19.95</v>
      </c>
      <c r="N32" s="36">
        <v>19.95</v>
      </c>
      <c r="O32" s="36">
        <v>19.95</v>
      </c>
      <c r="P32" s="36">
        <v>19.95</v>
      </c>
      <c r="Q32" s="36"/>
      <c r="R32" s="14">
        <f t="shared" si="27"/>
        <v>862731.6699999999</v>
      </c>
      <c r="S32" s="36">
        <v>80129.27</v>
      </c>
      <c r="T32" s="36">
        <v>130670.63</v>
      </c>
      <c r="U32" s="36">
        <v>296911.36</v>
      </c>
      <c r="V32" s="36">
        <v>207146.98</v>
      </c>
      <c r="W32" s="36">
        <v>147873.43</v>
      </c>
      <c r="X32" s="36"/>
      <c r="Y32" s="67">
        <f>SUM(Z32:AD32)</f>
        <v>43314.632582962055</v>
      </c>
      <c r="Z32" s="97">
        <f>AN32/AG32</f>
        <v>4056.3947100712107</v>
      </c>
      <c r="AA32" s="97">
        <f>AO32/AH32</f>
        <v>6548.64496439471</v>
      </c>
      <c r="AB32" s="97">
        <f>AP32/AI32</f>
        <v>14905.445005045407</v>
      </c>
      <c r="AC32" s="97">
        <f>AQ32/AJ32</f>
        <v>10295.806189751393</v>
      </c>
      <c r="AD32" s="97">
        <f>AR32/AK32</f>
        <v>7508.341713699335</v>
      </c>
      <c r="AE32" s="97"/>
      <c r="AF32" s="121">
        <f t="shared" si="24"/>
        <v>19.697475636341988</v>
      </c>
      <c r="AG32" s="37">
        <v>19.66</v>
      </c>
      <c r="AH32" s="37">
        <v>19.66</v>
      </c>
      <c r="AI32" s="37">
        <v>19.82</v>
      </c>
      <c r="AJ32" s="37">
        <v>19.71</v>
      </c>
      <c r="AK32" s="37">
        <v>19.49</v>
      </c>
      <c r="AL32" s="37"/>
      <c r="AM32" s="15">
        <f>SUM(AN32:AS32)</f>
        <v>853188.9199999999</v>
      </c>
      <c r="AN32" s="36">
        <f>79619.98+128.74</f>
        <v>79748.72</v>
      </c>
      <c r="AO32" s="36">
        <f>69997.46+37789.78+20959.12</f>
        <v>128746.36</v>
      </c>
      <c r="AP32" s="36">
        <f>111388.81+184037.11</f>
        <v>295425.92</v>
      </c>
      <c r="AQ32" s="36">
        <f>6827.08+140203.7+39371.58+16518.96+91.47-82.45</f>
        <v>202930.33999999997</v>
      </c>
      <c r="AR32" s="36">
        <f>146207.63+129.95</f>
        <v>146337.58000000002</v>
      </c>
      <c r="AS32" s="37"/>
      <c r="AT32" s="15">
        <f>SUM(AU32:AY32)</f>
        <v>10898.550799999966</v>
      </c>
      <c r="AU32" s="37">
        <f>(L32-AG32)*E32</f>
        <v>1164.5645999999965</v>
      </c>
      <c r="AV32" s="37">
        <f>(M32-AH32)*F32</f>
        <v>1899.1113999999943</v>
      </c>
      <c r="AW32" s="37">
        <f>(N32-AI32)*G32</f>
        <v>1934.3921999999852</v>
      </c>
      <c r="AX32" s="37">
        <f>(O32-AJ32)*H32</f>
        <v>2491.519199999984</v>
      </c>
      <c r="AY32" s="37">
        <f>(P32-AK32)*I32</f>
        <v>3408.9634000000065</v>
      </c>
      <c r="AZ32" s="37"/>
    </row>
    <row r="33" spans="1:52" ht="84" customHeight="1">
      <c r="A33" s="74"/>
      <c r="B33" s="31" t="s">
        <v>27</v>
      </c>
      <c r="C33" s="40"/>
      <c r="D33" s="75">
        <f t="shared" si="26"/>
        <v>22355.7</v>
      </c>
      <c r="E33" s="65">
        <v>4649.8</v>
      </c>
      <c r="F33" s="65">
        <v>16926.2</v>
      </c>
      <c r="G33" s="76"/>
      <c r="H33" s="76"/>
      <c r="I33" s="76"/>
      <c r="J33" s="65">
        <v>779.7</v>
      </c>
      <c r="K33" s="14">
        <f t="shared" si="20"/>
        <v>28.650400121669193</v>
      </c>
      <c r="L33" s="13">
        <v>28.65</v>
      </c>
      <c r="M33" s="13">
        <v>28.65</v>
      </c>
      <c r="N33" s="13"/>
      <c r="O33" s="13"/>
      <c r="P33" s="13"/>
      <c r="Q33" s="13">
        <v>28.65</v>
      </c>
      <c r="R33" s="14">
        <f t="shared" si="27"/>
        <v>640499.75</v>
      </c>
      <c r="S33" s="13">
        <v>133218.63</v>
      </c>
      <c r="T33" s="13">
        <v>484942.4</v>
      </c>
      <c r="U33" s="13"/>
      <c r="V33" s="13"/>
      <c r="W33" s="13"/>
      <c r="X33" s="13">
        <v>22338.72</v>
      </c>
      <c r="Y33" s="64">
        <f>SUM(Z33:AE33)</f>
        <v>22400.002128801214</v>
      </c>
      <c r="Z33" s="65">
        <f>AN33/AG33</f>
        <v>4654.7863682604275</v>
      </c>
      <c r="AA33" s="65">
        <f>AO33/AH33</f>
        <v>16965.498982706</v>
      </c>
      <c r="AB33" s="65"/>
      <c r="AC33" s="65"/>
      <c r="AD33" s="65"/>
      <c r="AE33" s="65">
        <f>AS33/AL33</f>
        <v>779.7167778347872</v>
      </c>
      <c r="AF33" s="14">
        <f t="shared" si="24"/>
        <v>19.654082507159163</v>
      </c>
      <c r="AG33" s="13">
        <v>19.66</v>
      </c>
      <c r="AH33" s="13">
        <v>19.66</v>
      </c>
      <c r="AI33" s="13"/>
      <c r="AJ33" s="13"/>
      <c r="AK33" s="13"/>
      <c r="AL33" s="37">
        <v>19.49</v>
      </c>
      <c r="AM33" s="15">
        <f>SUM(AN33:AS33)</f>
        <v>440251.48999999993</v>
      </c>
      <c r="AN33" s="13">
        <f>91415.33+97.77</f>
        <v>91513.1</v>
      </c>
      <c r="AO33" s="13">
        <f>264422.42+68893.5+225.79</f>
        <v>333541.70999999996</v>
      </c>
      <c r="AP33" s="13"/>
      <c r="AQ33" s="13"/>
      <c r="AR33" s="13"/>
      <c r="AS33" s="37">
        <v>15196.68</v>
      </c>
      <c r="AT33" s="14">
        <f>SUM(AU33:AZ33)</f>
        <v>201110.29199999996</v>
      </c>
      <c r="AU33" s="37">
        <f>(L33-AG33)*E33</f>
        <v>41801.702</v>
      </c>
      <c r="AV33" s="37">
        <f>(M33-AH33)*F33</f>
        <v>152166.53799999997</v>
      </c>
      <c r="AW33" s="37"/>
      <c r="AX33" s="37"/>
      <c r="AY33" s="37"/>
      <c r="AZ33" s="37">
        <f>(Q33-AL33)*J33</f>
        <v>7142.052000000001</v>
      </c>
    </row>
    <row r="34" spans="1:52" ht="39.75" customHeight="1">
      <c r="A34" s="38"/>
      <c r="B34" s="39" t="s">
        <v>23</v>
      </c>
      <c r="C34" s="40"/>
      <c r="D34" s="75">
        <f t="shared" si="26"/>
        <v>726.06</v>
      </c>
      <c r="E34" s="76"/>
      <c r="F34" s="65">
        <v>726.06</v>
      </c>
      <c r="G34" s="76"/>
      <c r="H34" s="76"/>
      <c r="I34" s="76"/>
      <c r="J34" s="76"/>
      <c r="K34" s="14">
        <f t="shared" si="20"/>
        <v>21.08659063989202</v>
      </c>
      <c r="L34" s="13"/>
      <c r="M34" s="13">
        <v>21.09</v>
      </c>
      <c r="N34" s="13"/>
      <c r="O34" s="37"/>
      <c r="P34" s="37"/>
      <c r="Q34" s="37"/>
      <c r="R34" s="14">
        <f t="shared" si="27"/>
        <v>15310.13</v>
      </c>
      <c r="S34" s="13"/>
      <c r="T34" s="13">
        <v>15310.13</v>
      </c>
      <c r="U34" s="13"/>
      <c r="V34" s="13"/>
      <c r="W34" s="13"/>
      <c r="X34" s="13"/>
      <c r="Y34" s="67">
        <f>SUM(Z34:AD34)</f>
        <v>726.060528992879</v>
      </c>
      <c r="Z34" s="97"/>
      <c r="AA34" s="97">
        <f>AO34/AH34</f>
        <v>726.060528992879</v>
      </c>
      <c r="AB34" s="97"/>
      <c r="AC34" s="97"/>
      <c r="AD34" s="97"/>
      <c r="AE34" s="97"/>
      <c r="AF34" s="14">
        <f t="shared" si="24"/>
        <v>19.66</v>
      </c>
      <c r="AG34" s="37"/>
      <c r="AH34" s="37">
        <v>19.66</v>
      </c>
      <c r="AI34" s="37"/>
      <c r="AJ34" s="37"/>
      <c r="AK34" s="37"/>
      <c r="AL34" s="37"/>
      <c r="AM34" s="15">
        <f>SUM(AN34:AR34)</f>
        <v>14274.35</v>
      </c>
      <c r="AN34" s="13"/>
      <c r="AO34" s="13">
        <v>14274.35</v>
      </c>
      <c r="AP34" s="13"/>
      <c r="AQ34" s="13"/>
      <c r="AR34" s="13"/>
      <c r="AS34" s="37"/>
      <c r="AT34" s="14">
        <f>SUM(AU34:AZ34)</f>
        <v>1038.2657999999997</v>
      </c>
      <c r="AU34" s="37"/>
      <c r="AV34" s="37">
        <f>(M34-AH34)*F34</f>
        <v>1038.2657999999997</v>
      </c>
      <c r="AW34" s="37"/>
      <c r="AX34" s="37"/>
      <c r="AY34" s="37"/>
      <c r="AZ34" s="13"/>
    </row>
    <row r="35" spans="1:52" ht="39.75" customHeight="1">
      <c r="A35" s="38"/>
      <c r="B35" s="39" t="s">
        <v>44</v>
      </c>
      <c r="C35" s="40"/>
      <c r="D35" s="75">
        <f t="shared" si="26"/>
        <v>0</v>
      </c>
      <c r="E35" s="76"/>
      <c r="F35" s="76"/>
      <c r="G35" s="76"/>
      <c r="H35" s="76">
        <f>V35/O35</f>
        <v>0</v>
      </c>
      <c r="I35" s="76"/>
      <c r="J35" s="76"/>
      <c r="K35" s="14" t="e">
        <f t="shared" si="20"/>
        <v>#DIV/0!</v>
      </c>
      <c r="L35" s="13"/>
      <c r="M35" s="37"/>
      <c r="N35" s="13"/>
      <c r="O35" s="37">
        <v>34.89</v>
      </c>
      <c r="P35" s="37"/>
      <c r="Q35" s="37"/>
      <c r="R35" s="14">
        <f t="shared" si="27"/>
        <v>0</v>
      </c>
      <c r="S35" s="13"/>
      <c r="T35" s="13"/>
      <c r="U35" s="13"/>
      <c r="V35" s="13"/>
      <c r="W35" s="13"/>
      <c r="X35" s="37"/>
      <c r="Y35" s="67">
        <f>SUM(Z35:AD35)</f>
        <v>494.95230847285643</v>
      </c>
      <c r="Z35" s="97"/>
      <c r="AA35" s="97"/>
      <c r="AB35" s="97"/>
      <c r="AC35" s="97">
        <f>AQ35/AJ35</f>
        <v>494.95230847285643</v>
      </c>
      <c r="AD35" s="97"/>
      <c r="AE35" s="97"/>
      <c r="AF35" s="14">
        <f t="shared" si="24"/>
        <v>19.71</v>
      </c>
      <c r="AG35" s="37"/>
      <c r="AH35" s="37"/>
      <c r="AI35" s="37"/>
      <c r="AJ35" s="37">
        <v>19.71</v>
      </c>
      <c r="AK35" s="37"/>
      <c r="AL35" s="37"/>
      <c r="AM35" s="15">
        <f>SUM(AN35:AR35)</f>
        <v>9755.51</v>
      </c>
      <c r="AN35" s="13"/>
      <c r="AO35" s="13"/>
      <c r="AP35" s="13"/>
      <c r="AQ35" s="13">
        <v>9755.51</v>
      </c>
      <c r="AR35" s="13"/>
      <c r="AS35" s="37"/>
      <c r="AT35" s="14">
        <f>SUM(AU35:AZ35)</f>
        <v>0</v>
      </c>
      <c r="AU35" s="37"/>
      <c r="AV35" s="37"/>
      <c r="AW35" s="37"/>
      <c r="AX35" s="37">
        <f>(O35-AJ35)*H35</f>
        <v>0</v>
      </c>
      <c r="AY35" s="37"/>
      <c r="AZ35" s="13"/>
    </row>
    <row r="36" spans="1:52" ht="43.5" customHeight="1" thickBot="1">
      <c r="A36" s="78"/>
      <c r="B36" s="79" t="s">
        <v>26</v>
      </c>
      <c r="C36" s="80"/>
      <c r="D36" s="75">
        <f t="shared" si="26"/>
        <v>980.49</v>
      </c>
      <c r="E36" s="81"/>
      <c r="F36" s="81"/>
      <c r="G36" s="81"/>
      <c r="H36" s="81"/>
      <c r="I36" s="34">
        <v>980.49</v>
      </c>
      <c r="J36" s="96"/>
      <c r="K36" s="82">
        <f t="shared" si="20"/>
        <v>26.77420473436751</v>
      </c>
      <c r="L36" s="83"/>
      <c r="M36" s="83"/>
      <c r="N36" s="83"/>
      <c r="O36" s="83"/>
      <c r="P36" s="84">
        <v>26.77</v>
      </c>
      <c r="Q36" s="84"/>
      <c r="R36" s="14">
        <f t="shared" si="27"/>
        <v>26251.84</v>
      </c>
      <c r="S36" s="83"/>
      <c r="T36" s="83"/>
      <c r="U36" s="83"/>
      <c r="V36" s="83"/>
      <c r="W36" s="83">
        <v>26251.84</v>
      </c>
      <c r="X36" s="84"/>
      <c r="Y36" s="87">
        <f>SUM(Z36:AD36)</f>
        <v>980.4894817855312</v>
      </c>
      <c r="Z36" s="99"/>
      <c r="AA36" s="99"/>
      <c r="AB36" s="99"/>
      <c r="AC36" s="99"/>
      <c r="AD36" s="99">
        <f>AR36/AK36</f>
        <v>980.4894817855312</v>
      </c>
      <c r="AE36" s="99"/>
      <c r="AF36" s="85">
        <f t="shared" si="24"/>
        <v>19.49</v>
      </c>
      <c r="AG36" s="84"/>
      <c r="AH36" s="84"/>
      <c r="AI36" s="84"/>
      <c r="AJ36" s="84"/>
      <c r="AK36" s="84">
        <v>19.49</v>
      </c>
      <c r="AL36" s="84"/>
      <c r="AM36" s="86">
        <f>SUM(AN36:AR36)</f>
        <v>19109.74</v>
      </c>
      <c r="AN36" s="83"/>
      <c r="AO36" s="83"/>
      <c r="AP36" s="83"/>
      <c r="AQ36" s="83"/>
      <c r="AR36" s="83">
        <v>19109.74</v>
      </c>
      <c r="AS36" s="84"/>
      <c r="AT36" s="14">
        <f>SUM(AU36:AZ36)</f>
        <v>7137.967200000001</v>
      </c>
      <c r="AU36" s="36"/>
      <c r="AV36" s="36"/>
      <c r="AW36" s="36"/>
      <c r="AX36" s="36"/>
      <c r="AY36" s="37">
        <f>(P36-AK36)*I36</f>
        <v>7137.967200000001</v>
      </c>
      <c r="AZ36" s="50"/>
    </row>
    <row r="37" spans="1:65" s="29" customFormat="1" ht="36.75" customHeight="1" thickBot="1">
      <c r="A37" s="23">
        <v>4</v>
      </c>
      <c r="B37" s="24" t="s">
        <v>3</v>
      </c>
      <c r="C37" s="24" t="s">
        <v>5</v>
      </c>
      <c r="D37" s="27">
        <f aca="true" t="shared" si="28" ref="D37:J37">SUM(D38:D45)</f>
        <v>101243.16246643462</v>
      </c>
      <c r="E37" s="27">
        <f t="shared" si="28"/>
        <v>9077.15</v>
      </c>
      <c r="F37" s="27">
        <f t="shared" si="28"/>
        <v>43404.05246643461</v>
      </c>
      <c r="G37" s="27">
        <f t="shared" si="28"/>
        <v>24411.43</v>
      </c>
      <c r="H37" s="27">
        <f t="shared" si="28"/>
        <v>11016.38</v>
      </c>
      <c r="I37" s="27">
        <f t="shared" si="28"/>
        <v>13334.150000000001</v>
      </c>
      <c r="J37" s="27">
        <f t="shared" si="28"/>
        <v>0</v>
      </c>
      <c r="K37" s="28">
        <f t="shared" si="20"/>
        <v>25.304662335585977</v>
      </c>
      <c r="L37" s="28">
        <f>S37/E37</f>
        <v>24.00149606429331</v>
      </c>
      <c r="M37" s="28">
        <f>T37/F37</f>
        <v>33.1766846221004</v>
      </c>
      <c r="N37" s="28">
        <f>U37/G37</f>
        <v>19.172481497396916</v>
      </c>
      <c r="O37" s="28">
        <f>V37/H37</f>
        <v>16.66481366837382</v>
      </c>
      <c r="P37" s="28">
        <f>W37/I37</f>
        <v>18.93204216241755</v>
      </c>
      <c r="Q37" s="28"/>
      <c r="R37" s="27">
        <f aca="true" t="shared" si="29" ref="R37:AE37">SUM(R38:R45)</f>
        <v>2561924.04</v>
      </c>
      <c r="S37" s="61">
        <f t="shared" si="29"/>
        <v>217865.18</v>
      </c>
      <c r="T37" s="61">
        <f t="shared" si="29"/>
        <v>1440002.56</v>
      </c>
      <c r="U37" s="61">
        <f t="shared" si="29"/>
        <v>468027.69</v>
      </c>
      <c r="V37" s="61">
        <f t="shared" si="29"/>
        <v>183585.91999999998</v>
      </c>
      <c r="W37" s="61">
        <f t="shared" si="29"/>
        <v>252442.69</v>
      </c>
      <c r="X37" s="61">
        <f t="shared" si="29"/>
        <v>0</v>
      </c>
      <c r="Y37" s="59">
        <f t="shared" si="29"/>
        <v>103420.13868326604</v>
      </c>
      <c r="Z37" s="59">
        <f t="shared" si="29"/>
        <v>9696.476023391813</v>
      </c>
      <c r="AA37" s="59">
        <f t="shared" si="29"/>
        <v>43247.355</v>
      </c>
      <c r="AB37" s="59">
        <f t="shared" si="29"/>
        <v>23943.702636431226</v>
      </c>
      <c r="AC37" s="59">
        <f t="shared" si="29"/>
        <v>12037.208493083637</v>
      </c>
      <c r="AD37" s="59">
        <f t="shared" si="29"/>
        <v>14495.396530359356</v>
      </c>
      <c r="AE37" s="59">
        <f t="shared" si="29"/>
        <v>0</v>
      </c>
      <c r="AF37" s="86">
        <f t="shared" si="24"/>
        <v>16.67376897725064</v>
      </c>
      <c r="AG37" s="101">
        <f>AN37/Z37</f>
        <v>17.099999999999998</v>
      </c>
      <c r="AH37" s="101">
        <f>AO37/AA37</f>
        <v>17.379831437090196</v>
      </c>
      <c r="AI37" s="101">
        <f>AP37/AB37</f>
        <v>16.426490755091603</v>
      </c>
      <c r="AJ37" s="101">
        <f>AQ37/AC37</f>
        <v>14.928320806543285</v>
      </c>
      <c r="AK37" s="27">
        <f>AR37/AD37</f>
        <v>16.14</v>
      </c>
      <c r="AL37" s="27"/>
      <c r="AM37" s="27">
        <f aca="true" t="shared" si="30" ref="AM37:AZ37">SUM(AM38:AM45)</f>
        <v>1724403.5</v>
      </c>
      <c r="AN37" s="27">
        <f t="shared" si="30"/>
        <v>165809.74</v>
      </c>
      <c r="AO37" s="27">
        <f t="shared" si="30"/>
        <v>751631.74</v>
      </c>
      <c r="AP37" s="27">
        <f t="shared" si="30"/>
        <v>393311.00999999995</v>
      </c>
      <c r="AQ37" s="27">
        <f t="shared" si="30"/>
        <v>179695.31</v>
      </c>
      <c r="AR37" s="27">
        <f t="shared" si="30"/>
        <v>233955.7</v>
      </c>
      <c r="AS37" s="27">
        <f t="shared" si="30"/>
        <v>0</v>
      </c>
      <c r="AT37" s="118">
        <f t="shared" si="30"/>
        <v>871419.4870333665</v>
      </c>
      <c r="AU37" s="27">
        <f t="shared" si="30"/>
        <v>62597.46349999998</v>
      </c>
      <c r="AV37" s="27">
        <f t="shared" si="30"/>
        <v>685538.6530333667</v>
      </c>
      <c r="AW37" s="27">
        <f t="shared" si="30"/>
        <v>67123.6903</v>
      </c>
      <c r="AX37" s="27">
        <f t="shared" si="30"/>
        <v>18950.7725</v>
      </c>
      <c r="AY37" s="27">
        <f t="shared" si="30"/>
        <v>37208.907699999996</v>
      </c>
      <c r="AZ37" s="27">
        <f t="shared" si="30"/>
        <v>0</v>
      </c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</row>
    <row r="38" spans="1:52" s="4" customFormat="1" ht="56.25" customHeight="1">
      <c r="A38" s="123"/>
      <c r="B38" s="124" t="s">
        <v>39</v>
      </c>
      <c r="C38" s="72"/>
      <c r="D38" s="63">
        <f>SUM(E38:I38)</f>
        <v>15028.64246643461</v>
      </c>
      <c r="E38" s="37"/>
      <c r="F38" s="128">
        <f>T38/M38</f>
        <v>15028.64246643461</v>
      </c>
      <c r="G38" s="37"/>
      <c r="H38" s="37"/>
      <c r="I38" s="37"/>
      <c r="J38" s="37"/>
      <c r="K38" s="63">
        <f>R38/D38</f>
        <v>40.22</v>
      </c>
      <c r="L38" s="73"/>
      <c r="M38" s="73">
        <v>40.22</v>
      </c>
      <c r="N38" s="73"/>
      <c r="O38" s="73"/>
      <c r="P38" s="73"/>
      <c r="Q38" s="37"/>
      <c r="R38" s="15">
        <f>SUM(S38:W38)</f>
        <v>604452</v>
      </c>
      <c r="S38" s="13"/>
      <c r="T38" s="13">
        <v>604452</v>
      </c>
      <c r="U38" s="13"/>
      <c r="V38" s="13"/>
      <c r="W38" s="13"/>
      <c r="X38" s="13"/>
      <c r="Y38" s="67">
        <f>SUM(Z38:AD38)</f>
        <v>15077.869</v>
      </c>
      <c r="Z38" s="97"/>
      <c r="AA38" s="97">
        <f>ROUND(AO38/AH38,3)</f>
        <v>15077.869</v>
      </c>
      <c r="AB38" s="97"/>
      <c r="AC38" s="97"/>
      <c r="AD38" s="97"/>
      <c r="AE38" s="97"/>
      <c r="AF38" s="14">
        <f>AM38/Y38</f>
        <v>17.37999978644197</v>
      </c>
      <c r="AG38" s="37"/>
      <c r="AH38" s="37">
        <v>17.38</v>
      </c>
      <c r="AI38" s="13"/>
      <c r="AJ38" s="13"/>
      <c r="AK38" s="13"/>
      <c r="AL38" s="37"/>
      <c r="AM38" s="15">
        <f>SUM(AN38:AR38)</f>
        <v>262053.36000000002</v>
      </c>
      <c r="AN38" s="13"/>
      <c r="AO38" s="13">
        <f>16911.73+245141.63</f>
        <v>262053.36000000002</v>
      </c>
      <c r="AP38" s="13"/>
      <c r="AQ38" s="13"/>
      <c r="AR38" s="13"/>
      <c r="AS38" s="13"/>
      <c r="AT38" s="15">
        <f>SUM(AU38:AY38)</f>
        <v>343254.1939333665</v>
      </c>
      <c r="AU38" s="37"/>
      <c r="AV38" s="37">
        <f>(M38-AH38)*F38</f>
        <v>343254.1939333665</v>
      </c>
      <c r="AW38" s="37"/>
      <c r="AX38" s="37"/>
      <c r="AY38" s="37"/>
      <c r="AZ38" s="13"/>
    </row>
    <row r="39" spans="1:52" ht="45.75" customHeight="1">
      <c r="A39" s="38"/>
      <c r="B39" s="39" t="s">
        <v>24</v>
      </c>
      <c r="C39" s="40"/>
      <c r="D39" s="14">
        <f>SUM(E39:I39)</f>
        <v>774.22</v>
      </c>
      <c r="E39" s="13"/>
      <c r="F39" s="13"/>
      <c r="G39" s="13">
        <v>774.22</v>
      </c>
      <c r="H39" s="13"/>
      <c r="I39" s="13"/>
      <c r="J39" s="13"/>
      <c r="K39" s="14">
        <f>R39/D39</f>
        <v>27.741791738782258</v>
      </c>
      <c r="L39" s="13"/>
      <c r="M39" s="13"/>
      <c r="N39" s="13">
        <v>27.74</v>
      </c>
      <c r="O39" s="13"/>
      <c r="P39" s="13"/>
      <c r="Q39" s="13"/>
      <c r="R39" s="14">
        <f>SUM(S39:W39)</f>
        <v>21478.25</v>
      </c>
      <c r="S39" s="13"/>
      <c r="T39" s="13"/>
      <c r="U39" s="13">
        <v>21478.25</v>
      </c>
      <c r="V39" s="13"/>
      <c r="W39" s="13"/>
      <c r="X39" s="13"/>
      <c r="Y39" s="64">
        <f>SUM(Z39:AD39)</f>
        <v>867.75896374269</v>
      </c>
      <c r="Z39" s="65">
        <f>AN39/AG39</f>
        <v>93.53216374269006</v>
      </c>
      <c r="AA39" s="65"/>
      <c r="AB39" s="65">
        <f>AP39/AI39</f>
        <v>774.2267999999999</v>
      </c>
      <c r="AC39" s="65"/>
      <c r="AD39" s="65"/>
      <c r="AE39" s="97"/>
      <c r="AF39" s="14">
        <f>AM39/Y39</f>
        <v>24.148491546108247</v>
      </c>
      <c r="AG39" s="127">
        <v>17.1</v>
      </c>
      <c r="AH39" s="13"/>
      <c r="AI39" s="127">
        <v>25</v>
      </c>
      <c r="AJ39" s="13"/>
      <c r="AK39" s="13"/>
      <c r="AL39" s="13"/>
      <c r="AM39" s="14">
        <f>SUM(AN39:AR39)</f>
        <v>20955.07</v>
      </c>
      <c r="AN39" s="13">
        <v>1599.4</v>
      </c>
      <c r="AO39" s="13"/>
      <c r="AP39" s="13">
        <f>8257.09+11098.58</f>
        <v>19355.67</v>
      </c>
      <c r="AQ39" s="13"/>
      <c r="AR39" s="13"/>
      <c r="AS39" s="13"/>
      <c r="AT39" s="15">
        <f>SUM(AU39:AY39)</f>
        <v>2121.362799999999</v>
      </c>
      <c r="AU39" s="37"/>
      <c r="AV39" s="37"/>
      <c r="AW39" s="37">
        <f>(N39-AI39)*G39</f>
        <v>2121.362799999999</v>
      </c>
      <c r="AX39" s="37"/>
      <c r="AY39" s="37"/>
      <c r="AZ39" s="13"/>
    </row>
    <row r="40" spans="1:52" ht="46.5" customHeight="1">
      <c r="A40" s="9"/>
      <c r="B40" s="43" t="s">
        <v>25</v>
      </c>
      <c r="C40" s="10"/>
      <c r="D40" s="15">
        <f aca="true" t="shared" si="31" ref="D40:D45">SUM(E40:I40)</f>
        <v>48159.97</v>
      </c>
      <c r="E40" s="34">
        <v>3898.45</v>
      </c>
      <c r="F40" s="34">
        <v>1820.01</v>
      </c>
      <c r="G40" s="34">
        <v>23637.21</v>
      </c>
      <c r="H40" s="34">
        <v>6891.19</v>
      </c>
      <c r="I40" s="34">
        <v>11913.11</v>
      </c>
      <c r="J40" s="96"/>
      <c r="K40" s="120">
        <f t="shared" si="20"/>
        <v>18.891799766486564</v>
      </c>
      <c r="L40" s="37">
        <v>18.89</v>
      </c>
      <c r="M40" s="37">
        <v>18.89</v>
      </c>
      <c r="N40" s="37">
        <v>18.89</v>
      </c>
      <c r="O40" s="37">
        <v>18.89</v>
      </c>
      <c r="P40" s="37">
        <v>18.89</v>
      </c>
      <c r="Q40" s="37"/>
      <c r="R40" s="15">
        <f aca="true" t="shared" si="32" ref="R40:R45">SUM(S40:W40)</f>
        <v>909828.5099999999</v>
      </c>
      <c r="S40" s="37">
        <v>73648.74</v>
      </c>
      <c r="T40" s="37">
        <v>34383.26</v>
      </c>
      <c r="U40" s="37">
        <v>446549.44</v>
      </c>
      <c r="V40" s="37">
        <v>130186.98</v>
      </c>
      <c r="W40" s="37">
        <v>225060.09</v>
      </c>
      <c r="X40" s="37"/>
      <c r="Y40" s="67">
        <f aca="true" t="shared" si="33" ref="Y40:Y45">SUM(Z40:AD40)</f>
        <v>49462.2144760973</v>
      </c>
      <c r="Z40" s="97">
        <f>AN40/AG40</f>
        <v>4424.264912280701</v>
      </c>
      <c r="AA40" s="97">
        <f>ROUND(AO40/AH40,3)</f>
        <v>1826.014</v>
      </c>
      <c r="AB40" s="97">
        <f>AP40/AI40</f>
        <v>23169.475836431226</v>
      </c>
      <c r="AC40" s="97">
        <f>AQ40/AJ40</f>
        <v>6968.103469640644</v>
      </c>
      <c r="AD40" s="97">
        <f>AR40/AK40</f>
        <v>13074.356257744734</v>
      </c>
      <c r="AE40" s="97"/>
      <c r="AF40" s="15">
        <f t="shared" si="24"/>
        <v>16.271646923308218</v>
      </c>
      <c r="AG40" s="37">
        <v>17.1</v>
      </c>
      <c r="AH40" s="37">
        <v>17.38</v>
      </c>
      <c r="AI40" s="37">
        <v>16.14</v>
      </c>
      <c r="AJ40" s="37">
        <v>16.14</v>
      </c>
      <c r="AK40" s="37">
        <v>16.14</v>
      </c>
      <c r="AL40" s="37"/>
      <c r="AM40" s="15">
        <f aca="true" t="shared" si="34" ref="AM40:AM45">SUM(AN40:AR40)</f>
        <v>804831.69</v>
      </c>
      <c r="AN40" s="37">
        <f>75654.93</f>
        <v>75654.93</v>
      </c>
      <c r="AO40" s="37">
        <f>13448.01+104.28+18183.83</f>
        <v>31736.120000000003</v>
      </c>
      <c r="AP40" s="37">
        <f>52991.7+81819.41+88681.77+150462.46</f>
        <v>373955.33999999997</v>
      </c>
      <c r="AQ40" s="37">
        <f>112465.19</f>
        <v>112465.19</v>
      </c>
      <c r="AR40" s="37">
        <f>74124.72+136895.39</f>
        <v>211020.11000000002</v>
      </c>
      <c r="AS40" s="37"/>
      <c r="AT40" s="15">
        <f aca="true" t="shared" si="35" ref="AT40:AT45">SUM(AU40:AY40)</f>
        <v>126440.59310000001</v>
      </c>
      <c r="AU40" s="37">
        <f>(L40-AG40)*E40</f>
        <v>6978.225499999996</v>
      </c>
      <c r="AV40" s="37">
        <f>(M40-AH40)*F40</f>
        <v>2748.2151000000026</v>
      </c>
      <c r="AW40" s="37">
        <f>(N40-AI40)*G40</f>
        <v>65002.3275</v>
      </c>
      <c r="AX40" s="37">
        <f>(O40-AJ40)*H40</f>
        <v>18950.7725</v>
      </c>
      <c r="AY40" s="37">
        <f>(P40-AK40)*I40</f>
        <v>32761.0525</v>
      </c>
      <c r="AZ40" s="37"/>
    </row>
    <row r="41" spans="1:52" ht="47.25" customHeight="1">
      <c r="A41" s="38"/>
      <c r="B41" s="43" t="s">
        <v>29</v>
      </c>
      <c r="C41" s="10"/>
      <c r="D41" s="15">
        <f t="shared" si="31"/>
        <v>4125.19</v>
      </c>
      <c r="E41" s="13"/>
      <c r="F41" s="13"/>
      <c r="G41" s="13"/>
      <c r="H41" s="65">
        <v>4125.19</v>
      </c>
      <c r="I41" s="13"/>
      <c r="J41" s="13"/>
      <c r="K41" s="14">
        <f t="shared" si="20"/>
        <v>12.944601339574664</v>
      </c>
      <c r="L41" s="37"/>
      <c r="M41" s="37"/>
      <c r="N41" s="37"/>
      <c r="O41" s="37">
        <v>12.94</v>
      </c>
      <c r="P41" s="37"/>
      <c r="Q41" s="37"/>
      <c r="R41" s="15">
        <f t="shared" si="32"/>
        <v>53398.94</v>
      </c>
      <c r="S41" s="13"/>
      <c r="T41" s="13"/>
      <c r="U41" s="13"/>
      <c r="V41" s="13">
        <v>53398.94</v>
      </c>
      <c r="W41" s="13"/>
      <c r="X41" s="37"/>
      <c r="Y41" s="67">
        <f t="shared" si="33"/>
        <v>4315.158307210031</v>
      </c>
      <c r="Z41" s="97"/>
      <c r="AA41" s="65"/>
      <c r="AB41" s="97"/>
      <c r="AC41" s="97">
        <f>AQ41/AJ41</f>
        <v>4315.158307210031</v>
      </c>
      <c r="AD41" s="97"/>
      <c r="AE41" s="97"/>
      <c r="AF41" s="14">
        <f t="shared" si="24"/>
        <v>12.76</v>
      </c>
      <c r="AG41" s="37"/>
      <c r="AH41" s="37"/>
      <c r="AI41" s="13"/>
      <c r="AJ41" s="13">
        <v>12.76</v>
      </c>
      <c r="AK41" s="13"/>
      <c r="AL41" s="37"/>
      <c r="AM41" s="15">
        <f t="shared" si="34"/>
        <v>55061.42</v>
      </c>
      <c r="AN41" s="13"/>
      <c r="AO41" s="13"/>
      <c r="AP41" s="13"/>
      <c r="AQ41" s="13">
        <f>12523.32+24190.78+12836.65+1122.09+4388.58</f>
        <v>55061.42</v>
      </c>
      <c r="AR41" s="13"/>
      <c r="AS41" s="37"/>
      <c r="AT41" s="15">
        <f t="shared" si="35"/>
        <v>0</v>
      </c>
      <c r="AU41" s="37"/>
      <c r="AV41" s="37"/>
      <c r="AW41" s="37"/>
      <c r="AX41" s="37"/>
      <c r="AY41" s="37"/>
      <c r="AZ41" s="13"/>
    </row>
    <row r="42" spans="1:52" s="4" customFormat="1" ht="39.75" customHeight="1">
      <c r="A42" s="66"/>
      <c r="B42" s="39" t="s">
        <v>44</v>
      </c>
      <c r="C42" s="39"/>
      <c r="D42" s="15">
        <f>SUM(E42:I42)</f>
        <v>0</v>
      </c>
      <c r="E42" s="37"/>
      <c r="F42" s="37"/>
      <c r="G42" s="37"/>
      <c r="H42" s="37">
        <f>V42/O42</f>
        <v>0</v>
      </c>
      <c r="I42" s="37"/>
      <c r="J42" s="37"/>
      <c r="K42" s="14" t="e">
        <f>R42/D42</f>
        <v>#DIV/0!</v>
      </c>
      <c r="L42" s="13"/>
      <c r="M42" s="37"/>
      <c r="N42" s="13"/>
      <c r="O42" s="37">
        <v>22.4</v>
      </c>
      <c r="P42" s="37"/>
      <c r="Q42" s="37"/>
      <c r="R42" s="15">
        <f>SUM(S42:W42)</f>
        <v>0</v>
      </c>
      <c r="S42" s="13"/>
      <c r="T42" s="13"/>
      <c r="U42" s="13"/>
      <c r="V42" s="13"/>
      <c r="W42" s="13"/>
      <c r="X42" s="37"/>
      <c r="Y42" s="67">
        <f>SUM(Z42:AD42)</f>
        <v>753.9467162329616</v>
      </c>
      <c r="Z42" s="97"/>
      <c r="AA42" s="97"/>
      <c r="AB42" s="97"/>
      <c r="AC42" s="97">
        <f>AQ42/AJ42</f>
        <v>753.9467162329616</v>
      </c>
      <c r="AD42" s="97"/>
      <c r="AE42" s="97"/>
      <c r="AF42" s="14">
        <f>AM42/Y42</f>
        <v>16.14</v>
      </c>
      <c r="AG42" s="37"/>
      <c r="AH42" s="37"/>
      <c r="AI42" s="13"/>
      <c r="AJ42" s="13">
        <v>16.14</v>
      </c>
      <c r="AK42" s="13"/>
      <c r="AL42" s="37"/>
      <c r="AM42" s="15">
        <f>SUM(AN42:AR42)</f>
        <v>12168.7</v>
      </c>
      <c r="AN42" s="13"/>
      <c r="AO42" s="13"/>
      <c r="AP42" s="13"/>
      <c r="AQ42" s="13">
        <f>4180.22+7988.48</f>
        <v>12168.7</v>
      </c>
      <c r="AR42" s="13"/>
      <c r="AS42" s="37"/>
      <c r="AT42" s="15">
        <f>SUM(AU42:AY42)</f>
        <v>0</v>
      </c>
      <c r="AU42" s="37"/>
      <c r="AV42" s="37"/>
      <c r="AW42" s="37"/>
      <c r="AX42" s="37">
        <f>(O42-AJ42)*H42</f>
        <v>0</v>
      </c>
      <c r="AY42" s="37"/>
      <c r="AZ42" s="13"/>
    </row>
    <row r="43" spans="1:52" ht="43.5" customHeight="1">
      <c r="A43" s="66"/>
      <c r="B43" s="39" t="s">
        <v>26</v>
      </c>
      <c r="C43" s="39"/>
      <c r="D43" s="64">
        <f>SUM(E43:I43)</f>
        <v>1421.04</v>
      </c>
      <c r="E43" s="125"/>
      <c r="F43" s="125"/>
      <c r="G43" s="125"/>
      <c r="H43" s="125"/>
      <c r="I43" s="37">
        <v>1421.04</v>
      </c>
      <c r="J43" s="13"/>
      <c r="K43" s="126">
        <f>R43/D43</f>
        <v>19.269408320666553</v>
      </c>
      <c r="L43" s="13"/>
      <c r="M43" s="13"/>
      <c r="N43" s="13"/>
      <c r="O43" s="13"/>
      <c r="P43" s="13">
        <v>19.27</v>
      </c>
      <c r="Q43" s="13"/>
      <c r="R43" s="14">
        <f>SUM(S43:W43)</f>
        <v>27382.6</v>
      </c>
      <c r="S43" s="13"/>
      <c r="T43" s="13"/>
      <c r="U43" s="13"/>
      <c r="V43" s="13"/>
      <c r="W43" s="13">
        <v>27382.6</v>
      </c>
      <c r="X43" s="13"/>
      <c r="Y43" s="64">
        <f>SUM(Z43:AD43)</f>
        <v>1421.040272614622</v>
      </c>
      <c r="Z43" s="65"/>
      <c r="AA43" s="65"/>
      <c r="AB43" s="65"/>
      <c r="AC43" s="65"/>
      <c r="AD43" s="65">
        <f>AR43/AK43</f>
        <v>1421.040272614622</v>
      </c>
      <c r="AE43" s="65"/>
      <c r="AF43" s="14">
        <f>AM43/Y43</f>
        <v>16.14</v>
      </c>
      <c r="AG43" s="13"/>
      <c r="AH43" s="13"/>
      <c r="AI43" s="13"/>
      <c r="AJ43" s="13"/>
      <c r="AK43" s="13">
        <v>16.14</v>
      </c>
      <c r="AL43" s="13"/>
      <c r="AM43" s="14">
        <f>SUM(AN43:AR43)</f>
        <v>22935.59</v>
      </c>
      <c r="AN43" s="13"/>
      <c r="AO43" s="13"/>
      <c r="AP43" s="13"/>
      <c r="AQ43" s="13"/>
      <c r="AR43" s="13">
        <f>8408.22+14527.37</f>
        <v>22935.59</v>
      </c>
      <c r="AS43" s="13"/>
      <c r="AT43" s="14">
        <f>SUM(AU43:AY43)</f>
        <v>4447.855199999998</v>
      </c>
      <c r="AU43" s="37"/>
      <c r="AV43" s="37"/>
      <c r="AW43" s="37"/>
      <c r="AX43" s="37"/>
      <c r="AY43" s="37">
        <f>(P43-AK43)*I43</f>
        <v>4447.855199999998</v>
      </c>
      <c r="AZ43" s="13"/>
    </row>
    <row r="44" spans="1:52" ht="81.75" customHeight="1">
      <c r="A44" s="9"/>
      <c r="B44" s="43" t="s">
        <v>27</v>
      </c>
      <c r="C44" s="10"/>
      <c r="D44" s="15">
        <f t="shared" si="31"/>
        <v>10581.099999999999</v>
      </c>
      <c r="E44" s="97">
        <v>5178.7</v>
      </c>
      <c r="F44" s="97">
        <v>5402.4</v>
      </c>
      <c r="G44" s="37"/>
      <c r="H44" s="37"/>
      <c r="I44" s="37"/>
      <c r="J44" s="37"/>
      <c r="K44" s="15">
        <f t="shared" si="20"/>
        <v>27.84799973537723</v>
      </c>
      <c r="L44" s="37">
        <v>27.84</v>
      </c>
      <c r="M44" s="37">
        <v>27.84</v>
      </c>
      <c r="N44" s="37"/>
      <c r="O44" s="37"/>
      <c r="P44" s="37"/>
      <c r="Q44" s="37"/>
      <c r="R44" s="15">
        <f t="shared" si="32"/>
        <v>294662.47</v>
      </c>
      <c r="S44" s="37">
        <v>144216.44</v>
      </c>
      <c r="T44" s="37">
        <v>150446.03</v>
      </c>
      <c r="U44" s="37"/>
      <c r="V44" s="37"/>
      <c r="W44" s="37"/>
      <c r="X44" s="37"/>
      <c r="Y44" s="67">
        <f t="shared" si="33"/>
        <v>10369.15094736842</v>
      </c>
      <c r="Z44" s="97">
        <f>AN44/AG44</f>
        <v>5178.678947368421</v>
      </c>
      <c r="AA44" s="97">
        <f>ROUND(AO44/AH44,3)</f>
        <v>5190.472</v>
      </c>
      <c r="AB44" s="97"/>
      <c r="AC44" s="97"/>
      <c r="AD44" s="97"/>
      <c r="AE44" s="97"/>
      <c r="AF44" s="15">
        <f t="shared" si="24"/>
        <v>17.24015986529436</v>
      </c>
      <c r="AG44" s="37">
        <v>17.1</v>
      </c>
      <c r="AH44" s="37">
        <v>17.38</v>
      </c>
      <c r="AI44" s="37"/>
      <c r="AJ44" s="37"/>
      <c r="AK44" s="37"/>
      <c r="AL44" s="37"/>
      <c r="AM44" s="15">
        <f>SUM(AN44:AS44)</f>
        <v>178765.82</v>
      </c>
      <c r="AN44" s="37">
        <f>10207.8+78347.61</f>
        <v>88555.41</v>
      </c>
      <c r="AO44" s="37">
        <f>31697.27+58513.14</f>
        <v>90210.41</v>
      </c>
      <c r="AP44" s="37"/>
      <c r="AQ44" s="37"/>
      <c r="AR44" s="37"/>
      <c r="AS44" s="37"/>
      <c r="AT44" s="15">
        <f t="shared" si="35"/>
        <v>112128.34199999999</v>
      </c>
      <c r="AU44" s="37">
        <f>(L44-AG44)*E44</f>
        <v>55619.23799999999</v>
      </c>
      <c r="AV44" s="37">
        <f>(M44-AH44)*F44</f>
        <v>56509.104</v>
      </c>
      <c r="AW44" s="37"/>
      <c r="AX44" s="37"/>
      <c r="AY44" s="37"/>
      <c r="AZ44" s="13"/>
    </row>
    <row r="45" spans="1:52" ht="81.75" customHeight="1" thickBot="1">
      <c r="A45" s="38"/>
      <c r="B45" s="39" t="s">
        <v>28</v>
      </c>
      <c r="C45" s="40"/>
      <c r="D45" s="15">
        <f t="shared" si="31"/>
        <v>21153</v>
      </c>
      <c r="E45" s="13"/>
      <c r="F45" s="65">
        <v>21153</v>
      </c>
      <c r="G45" s="37"/>
      <c r="H45" s="37"/>
      <c r="I45" s="37"/>
      <c r="J45" s="37"/>
      <c r="K45" s="14">
        <f t="shared" si="20"/>
        <v>30.762599631257977</v>
      </c>
      <c r="L45" s="13"/>
      <c r="M45" s="37">
        <v>30.76</v>
      </c>
      <c r="N45" s="37"/>
      <c r="O45" s="37"/>
      <c r="P45" s="37"/>
      <c r="Q45" s="37"/>
      <c r="R45" s="15">
        <f t="shared" si="32"/>
        <v>650721.27</v>
      </c>
      <c r="S45" s="13"/>
      <c r="T45" s="13">
        <v>650721.27</v>
      </c>
      <c r="U45" s="13"/>
      <c r="V45" s="13"/>
      <c r="W45" s="13"/>
      <c r="X45" s="37"/>
      <c r="Y45" s="67">
        <f t="shared" si="33"/>
        <v>21153</v>
      </c>
      <c r="Z45" s="97"/>
      <c r="AA45" s="97">
        <f>ROUND(AO45/AH45,0)</f>
        <v>21153</v>
      </c>
      <c r="AB45" s="97" t="s">
        <v>34</v>
      </c>
      <c r="AC45" s="97"/>
      <c r="AD45" s="97"/>
      <c r="AE45" s="97"/>
      <c r="AF45" s="14">
        <f t="shared" si="24"/>
        <v>17.379655368032903</v>
      </c>
      <c r="AG45" s="37"/>
      <c r="AH45" s="37">
        <v>17.38</v>
      </c>
      <c r="AI45" s="13"/>
      <c r="AJ45" s="13"/>
      <c r="AK45" s="13"/>
      <c r="AL45" s="37"/>
      <c r="AM45" s="15">
        <f t="shared" si="34"/>
        <v>367631.85</v>
      </c>
      <c r="AN45" s="13"/>
      <c r="AO45" s="13">
        <f>128669.56+238962.29</f>
        <v>367631.85</v>
      </c>
      <c r="AP45" s="13"/>
      <c r="AQ45" s="13"/>
      <c r="AR45" s="13"/>
      <c r="AS45" s="37"/>
      <c r="AT45" s="15">
        <f t="shared" si="35"/>
        <v>283027.1400000001</v>
      </c>
      <c r="AU45" s="37"/>
      <c r="AV45" s="37">
        <f>(M45-AH45)*F45</f>
        <v>283027.1400000001</v>
      </c>
      <c r="AW45" s="37"/>
      <c r="AX45" s="37"/>
      <c r="AY45" s="37"/>
      <c r="AZ45" s="13"/>
    </row>
    <row r="46" spans="1:65" s="91" customFormat="1" ht="27.75" customHeight="1" thickBot="1">
      <c r="A46" s="88"/>
      <c r="B46" s="89" t="s">
        <v>46</v>
      </c>
      <c r="C46" s="89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>
        <f aca="true" t="shared" si="36" ref="R46:X46">R37+R27+R19+R7</f>
        <v>42774403.18999999</v>
      </c>
      <c r="S46" s="90">
        <f t="shared" si="36"/>
        <v>3895814.44</v>
      </c>
      <c r="T46" s="90">
        <f t="shared" si="36"/>
        <v>16661124.440000001</v>
      </c>
      <c r="U46" s="90">
        <f t="shared" si="36"/>
        <v>9796991.3</v>
      </c>
      <c r="V46" s="90">
        <f t="shared" si="36"/>
        <v>6696056.7700000005</v>
      </c>
      <c r="W46" s="90">
        <f t="shared" si="36"/>
        <v>5293707.87</v>
      </c>
      <c r="X46" s="90">
        <f t="shared" si="36"/>
        <v>430708.37</v>
      </c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>
        <f aca="true" t="shared" si="37" ref="AM46:AZ46">AM37+AM27+AM19+AM7</f>
        <v>23896052.86</v>
      </c>
      <c r="AN46" s="90">
        <f t="shared" si="37"/>
        <v>1874995.23</v>
      </c>
      <c r="AO46" s="90">
        <f t="shared" si="37"/>
        <v>11119189.440000001</v>
      </c>
      <c r="AP46" s="90">
        <f t="shared" si="37"/>
        <v>4637948.16</v>
      </c>
      <c r="AQ46" s="90">
        <f t="shared" si="37"/>
        <v>3286168.1399999997</v>
      </c>
      <c r="AR46" s="90">
        <f t="shared" si="37"/>
        <v>2641971.3</v>
      </c>
      <c r="AS46" s="90">
        <f t="shared" si="37"/>
        <v>335780.59</v>
      </c>
      <c r="AT46" s="90">
        <f t="shared" si="37"/>
        <v>18640518.063915573</v>
      </c>
      <c r="AU46" s="90">
        <f t="shared" si="37"/>
        <v>2002555.9689393784</v>
      </c>
      <c r="AV46" s="90">
        <f t="shared" si="37"/>
        <v>5474958.977206562</v>
      </c>
      <c r="AW46" s="90">
        <f t="shared" si="37"/>
        <v>4988558.552654621</v>
      </c>
      <c r="AX46" s="90">
        <f t="shared" si="37"/>
        <v>3405725.3728839997</v>
      </c>
      <c r="AY46" s="90">
        <f t="shared" si="37"/>
        <v>2673790.613286522</v>
      </c>
      <c r="AZ46" s="90">
        <f t="shared" si="37"/>
        <v>94928.57894448935</v>
      </c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</row>
    <row r="47" spans="5:25" ht="25.5" customHeight="1">
      <c r="E47" s="6"/>
      <c r="Y47" s="6"/>
    </row>
    <row r="48" spans="2:57" ht="55.5" customHeight="1">
      <c r="B48" s="208"/>
      <c r="C48" s="208"/>
      <c r="D48" s="208"/>
      <c r="E48" s="208"/>
      <c r="U48" s="208"/>
      <c r="V48" s="208"/>
      <c r="W48" s="94"/>
      <c r="X48" s="94"/>
      <c r="Y48" s="94"/>
      <c r="Z48" s="94"/>
      <c r="AT48" s="213" t="s">
        <v>19</v>
      </c>
      <c r="AU48" s="213"/>
      <c r="AV48" s="213"/>
      <c r="AW48" s="213"/>
      <c r="AY48" s="214" t="s">
        <v>45</v>
      </c>
      <c r="AZ48" s="214"/>
      <c r="BA48" s="208"/>
      <c r="BB48" s="208"/>
      <c r="BC48" s="208"/>
      <c r="BD48" s="208"/>
      <c r="BE48" s="208"/>
    </row>
    <row r="49" spans="5:26" ht="55.5" customHeight="1">
      <c r="E49" s="6"/>
      <c r="Y49" s="6"/>
      <c r="Z49" s="6"/>
    </row>
    <row r="50" spans="5:54" ht="26.25">
      <c r="E50" s="6"/>
      <c r="Y50" s="6"/>
      <c r="Z50" s="6"/>
      <c r="AT50" s="6"/>
      <c r="AV50" s="93"/>
      <c r="BA50" s="6"/>
      <c r="BB50" s="6"/>
    </row>
    <row r="51" spans="5:26" ht="26.25">
      <c r="E51" s="6"/>
      <c r="Y51" s="6"/>
      <c r="Z51" s="6"/>
    </row>
    <row r="52" spans="5:26" ht="26.25">
      <c r="E52" s="6"/>
      <c r="Y52" s="6"/>
      <c r="Z52" s="6"/>
    </row>
    <row r="53" spans="5:26" ht="26.25">
      <c r="E53" s="6"/>
      <c r="Y53" s="6"/>
      <c r="Z53" s="6"/>
    </row>
    <row r="54" spans="5:26" ht="26.25">
      <c r="E54" s="6"/>
      <c r="Y54" s="6"/>
      <c r="Z54" s="6"/>
    </row>
    <row r="55" spans="5:26" ht="26.25">
      <c r="E55" s="6"/>
      <c r="Y55" s="6"/>
      <c r="Z55" s="6"/>
    </row>
    <row r="56" spans="5:26" ht="26.25">
      <c r="E56" s="6"/>
      <c r="Y56" s="6"/>
      <c r="Z56" s="6"/>
    </row>
    <row r="57" spans="5:26" ht="26.25">
      <c r="E57" s="6"/>
      <c r="Y57" s="6"/>
      <c r="Z57" s="6"/>
    </row>
    <row r="58" spans="5:26" ht="26.25">
      <c r="E58" s="6"/>
      <c r="Y58" s="6"/>
      <c r="Z58" s="6"/>
    </row>
    <row r="59" spans="5:26" ht="26.25">
      <c r="E59" s="6"/>
      <c r="Y59" s="6"/>
      <c r="Z59" s="6"/>
    </row>
    <row r="60" spans="5:26" ht="26.25">
      <c r="E60" s="6"/>
      <c r="Y60" s="6"/>
      <c r="Z60" s="6"/>
    </row>
    <row r="61" spans="5:26" ht="26.25">
      <c r="E61" s="6"/>
      <c r="Y61" s="6"/>
      <c r="Z61" s="6"/>
    </row>
    <row r="62" spans="5:26" ht="26.25">
      <c r="E62" s="6"/>
      <c r="Y62" s="6"/>
      <c r="Z62" s="6"/>
    </row>
    <row r="63" spans="5:26" ht="26.25">
      <c r="E63" s="6"/>
      <c r="Y63" s="6"/>
      <c r="Z63" s="6"/>
    </row>
    <row r="64" spans="5:26" ht="26.25">
      <c r="E64" s="6"/>
      <c r="Y64" s="6"/>
      <c r="Z64" s="6"/>
    </row>
    <row r="65" spans="5:26" ht="26.25">
      <c r="E65" s="6"/>
      <c r="Y65" s="6"/>
      <c r="Z65" s="6"/>
    </row>
    <row r="66" spans="5:26" ht="26.25">
      <c r="E66" s="6"/>
      <c r="Y66" s="6"/>
      <c r="Z66" s="6"/>
    </row>
    <row r="67" spans="5:26" ht="26.25">
      <c r="E67" s="6"/>
      <c r="Y67" s="6"/>
      <c r="Z67" s="6"/>
    </row>
    <row r="68" spans="5:26" ht="26.25">
      <c r="E68" s="6"/>
      <c r="Y68" s="6"/>
      <c r="Z68" s="6"/>
    </row>
    <row r="69" spans="5:26" ht="26.25">
      <c r="E69" s="6"/>
      <c r="Y69" s="6"/>
      <c r="Z69" s="6"/>
    </row>
    <row r="70" spans="5:26" ht="26.25">
      <c r="E70" s="6"/>
      <c r="Y70" s="6"/>
      <c r="Z70" s="6"/>
    </row>
    <row r="71" spans="5:26" ht="26.25">
      <c r="E71" s="6"/>
      <c r="Y71" s="6"/>
      <c r="Z71" s="6"/>
    </row>
    <row r="72" spans="5:26" ht="26.25">
      <c r="E72" s="6"/>
      <c r="Y72" s="6"/>
      <c r="Z72" s="6"/>
    </row>
    <row r="73" spans="5:26" ht="26.25">
      <c r="E73" s="6"/>
      <c r="Y73" s="6"/>
      <c r="Z73" s="6"/>
    </row>
    <row r="74" spans="5:26" ht="26.25">
      <c r="E74" s="6"/>
      <c r="Y74" s="6"/>
      <c r="Z74" s="6"/>
    </row>
    <row r="75" spans="5:26" ht="26.25">
      <c r="E75" s="6"/>
      <c r="Y75" s="6"/>
      <c r="Z75" s="6"/>
    </row>
    <row r="76" spans="5:26" ht="26.25">
      <c r="E76" s="6"/>
      <c r="Y76" s="6"/>
      <c r="Z76" s="6"/>
    </row>
    <row r="77" spans="5:26" ht="26.25">
      <c r="E77" s="6"/>
      <c r="Y77" s="6"/>
      <c r="Z77" s="6"/>
    </row>
    <row r="78" spans="5:26" ht="26.25">
      <c r="E78" s="6"/>
      <c r="Y78" s="6"/>
      <c r="Z78" s="6"/>
    </row>
    <row r="79" spans="5:26" ht="26.25">
      <c r="E79" s="6"/>
      <c r="Y79" s="6"/>
      <c r="Z79" s="6"/>
    </row>
    <row r="80" spans="5:26" ht="26.25">
      <c r="E80" s="6"/>
      <c r="Y80" s="6"/>
      <c r="Z80" s="6"/>
    </row>
    <row r="81" spans="5:26" ht="26.25">
      <c r="E81" s="6"/>
      <c r="Y81" s="6"/>
      <c r="Z81" s="6"/>
    </row>
    <row r="82" spans="5:26" ht="26.25">
      <c r="E82" s="6"/>
      <c r="Y82" s="6"/>
      <c r="Z82" s="6"/>
    </row>
    <row r="83" spans="5:26" ht="26.25">
      <c r="E83" s="6"/>
      <c r="Y83" s="6"/>
      <c r="Z83" s="6"/>
    </row>
    <row r="84" spans="5:26" ht="26.25">
      <c r="E84" s="6"/>
      <c r="Y84" s="6"/>
      <c r="Z84" s="6"/>
    </row>
    <row r="85" spans="5:26" ht="26.25">
      <c r="E85" s="6"/>
      <c r="Y85" s="6"/>
      <c r="Z85" s="6"/>
    </row>
    <row r="86" spans="5:26" ht="26.25">
      <c r="E86" s="6"/>
      <c r="Y86" s="6"/>
      <c r="Z86" s="6"/>
    </row>
    <row r="87" spans="5:26" ht="26.25">
      <c r="E87" s="6"/>
      <c r="Y87" s="6"/>
      <c r="Z87" s="6"/>
    </row>
    <row r="88" spans="5:26" ht="26.25">
      <c r="E88" s="6"/>
      <c r="Y88" s="6"/>
      <c r="Z88" s="6"/>
    </row>
    <row r="89" spans="5:26" ht="26.25">
      <c r="E89" s="6"/>
      <c r="Y89" s="6"/>
      <c r="Z89" s="6"/>
    </row>
    <row r="90" spans="25:26" ht="26.25">
      <c r="Y90" s="6"/>
      <c r="Z90" s="6"/>
    </row>
    <row r="91" spans="25:26" ht="26.25">
      <c r="Y91" s="6"/>
      <c r="Z91" s="6"/>
    </row>
    <row r="92" spans="25:26" ht="26.25">
      <c r="Y92" s="6"/>
      <c r="Z92" s="6"/>
    </row>
    <row r="93" spans="25:26" ht="26.25">
      <c r="Y93" s="6"/>
      <c r="Z93" s="6"/>
    </row>
    <row r="94" spans="25:26" ht="26.25">
      <c r="Y94" s="6"/>
      <c r="Z94" s="6"/>
    </row>
    <row r="95" spans="25:26" ht="26.25">
      <c r="Y95" s="6"/>
      <c r="Z95" s="6"/>
    </row>
    <row r="96" spans="25:26" ht="26.25">
      <c r="Y96" s="6"/>
      <c r="Z96" s="6"/>
    </row>
    <row r="97" spans="25:26" ht="26.25">
      <c r="Y97" s="6"/>
      <c r="Z97" s="6"/>
    </row>
    <row r="98" spans="25:26" ht="26.25">
      <c r="Y98" s="6"/>
      <c r="Z98" s="6"/>
    </row>
    <row r="99" spans="25:26" ht="26.25">
      <c r="Y99" s="6"/>
      <c r="Z99" s="6"/>
    </row>
    <row r="100" spans="25:26" ht="26.25">
      <c r="Y100" s="6"/>
      <c r="Z100" s="6"/>
    </row>
    <row r="101" spans="25:26" ht="26.25">
      <c r="Y101" s="6"/>
      <c r="Z101" s="6"/>
    </row>
    <row r="102" spans="25:26" ht="26.25">
      <c r="Y102" s="6"/>
      <c r="Z102" s="6"/>
    </row>
    <row r="103" spans="25:26" ht="26.25">
      <c r="Y103" s="6"/>
      <c r="Z103" s="6"/>
    </row>
    <row r="104" spans="25:26" ht="26.25">
      <c r="Y104" s="6"/>
      <c r="Z104" s="6"/>
    </row>
    <row r="105" spans="25:26" ht="26.25">
      <c r="Y105" s="6"/>
      <c r="Z105" s="6"/>
    </row>
    <row r="106" spans="25:26" ht="26.25">
      <c r="Y106" s="6"/>
      <c r="Z106" s="6"/>
    </row>
    <row r="107" spans="25:26" ht="26.25">
      <c r="Y107" s="6"/>
      <c r="Z107" s="6"/>
    </row>
    <row r="108" spans="25:26" ht="26.25">
      <c r="Y108" s="6"/>
      <c r="Z108" s="6"/>
    </row>
    <row r="109" spans="25:26" ht="26.25">
      <c r="Y109" s="6"/>
      <c r="Z109" s="6"/>
    </row>
    <row r="110" spans="25:26" ht="26.25">
      <c r="Y110" s="6"/>
      <c r="Z110" s="6"/>
    </row>
    <row r="111" spans="25:26" ht="26.25">
      <c r="Y111" s="6"/>
      <c r="Z111" s="6"/>
    </row>
    <row r="112" spans="25:26" ht="26.25">
      <c r="Y112" s="6"/>
      <c r="Z112" s="6"/>
    </row>
    <row r="113" spans="25:26" ht="26.25">
      <c r="Y113" s="6"/>
      <c r="Z113" s="6"/>
    </row>
    <row r="114" spans="25:26" ht="26.25">
      <c r="Y114" s="6"/>
      <c r="Z114" s="6"/>
    </row>
    <row r="115" spans="25:26" ht="26.25">
      <c r="Y115" s="6"/>
      <c r="Z115" s="6"/>
    </row>
    <row r="116" spans="25:26" ht="26.25">
      <c r="Y116" s="6"/>
      <c r="Z116" s="6"/>
    </row>
    <row r="117" spans="25:26" ht="26.25">
      <c r="Y117" s="6"/>
      <c r="Z117" s="6"/>
    </row>
    <row r="118" spans="25:26" ht="26.25">
      <c r="Y118" s="6"/>
      <c r="Z118" s="6"/>
    </row>
    <row r="119" spans="25:26" ht="26.25">
      <c r="Y119" s="6"/>
      <c r="Z119" s="6"/>
    </row>
    <row r="120" spans="25:26" ht="26.25">
      <c r="Y120" s="6"/>
      <c r="Z120" s="6"/>
    </row>
    <row r="121" spans="25:26" ht="26.25">
      <c r="Y121" s="6"/>
      <c r="Z121" s="6"/>
    </row>
    <row r="122" spans="25:26" ht="26.25">
      <c r="Y122" s="6"/>
      <c r="Z122" s="6"/>
    </row>
    <row r="123" spans="25:26" ht="26.25">
      <c r="Y123" s="6"/>
      <c r="Z123" s="6"/>
    </row>
    <row r="124" spans="25:26" ht="26.25">
      <c r="Y124" s="6"/>
      <c r="Z124" s="6"/>
    </row>
    <row r="125" spans="25:26" ht="26.25">
      <c r="Y125" s="6"/>
      <c r="Z125" s="6"/>
    </row>
    <row r="126" spans="25:26" ht="26.25">
      <c r="Y126" s="6"/>
      <c r="Z126" s="6"/>
    </row>
    <row r="127" spans="25:26" ht="26.25">
      <c r="Y127" s="6"/>
      <c r="Z127" s="6"/>
    </row>
    <row r="128" spans="25:26" ht="26.25">
      <c r="Y128" s="6"/>
      <c r="Z128" s="6"/>
    </row>
    <row r="129" spans="25:26" ht="26.25">
      <c r="Y129" s="6"/>
      <c r="Z129" s="6"/>
    </row>
    <row r="130" spans="25:26" ht="26.25">
      <c r="Y130" s="6"/>
      <c r="Z130" s="6"/>
    </row>
    <row r="131" spans="25:26" ht="26.25">
      <c r="Y131" s="6"/>
      <c r="Z131" s="6"/>
    </row>
    <row r="132" spans="25:26" ht="26.25">
      <c r="Y132" s="6"/>
      <c r="Z132" s="6"/>
    </row>
    <row r="133" spans="25:26" ht="26.25">
      <c r="Y133" s="6"/>
      <c r="Z133" s="6"/>
    </row>
    <row r="134" spans="25:26" ht="26.25">
      <c r="Y134" s="6"/>
      <c r="Z134" s="6"/>
    </row>
    <row r="135" spans="25:26" ht="26.25">
      <c r="Y135" s="6"/>
      <c r="Z135" s="6"/>
    </row>
    <row r="136" spans="25:26" ht="26.25">
      <c r="Y136" s="6"/>
      <c r="Z136" s="6"/>
    </row>
    <row r="137" spans="25:26" ht="26.25">
      <c r="Y137" s="6"/>
      <c r="Z137" s="6"/>
    </row>
    <row r="138" spans="25:26" ht="26.25">
      <c r="Y138" s="6"/>
      <c r="Z138" s="6"/>
    </row>
    <row r="139" spans="25:26" ht="26.25">
      <c r="Y139" s="6"/>
      <c r="Z139" s="6"/>
    </row>
    <row r="140" spans="25:26" ht="26.25">
      <c r="Y140" s="6"/>
      <c r="Z140" s="6"/>
    </row>
    <row r="141" spans="25:26" ht="26.25">
      <c r="Y141" s="6"/>
      <c r="Z141" s="6"/>
    </row>
    <row r="142" spans="25:26" ht="26.25">
      <c r="Y142" s="6"/>
      <c r="Z142" s="6"/>
    </row>
    <row r="143" spans="25:26" ht="26.25">
      <c r="Y143" s="6"/>
      <c r="Z143" s="6"/>
    </row>
    <row r="144" spans="25:26" ht="26.25">
      <c r="Y144" s="6"/>
      <c r="Z144" s="6"/>
    </row>
    <row r="145" spans="25:26" ht="26.25">
      <c r="Y145" s="6"/>
      <c r="Z145" s="6"/>
    </row>
    <row r="146" spans="25:26" ht="26.25">
      <c r="Y146" s="6"/>
      <c r="Z146" s="6"/>
    </row>
    <row r="147" spans="25:26" ht="26.25">
      <c r="Y147" s="6"/>
      <c r="Z147" s="6"/>
    </row>
    <row r="148" spans="25:26" ht="26.25">
      <c r="Y148" s="6"/>
      <c r="Z148" s="6"/>
    </row>
    <row r="149" spans="25:26" ht="26.25">
      <c r="Y149" s="6"/>
      <c r="Z149" s="6"/>
    </row>
    <row r="150" spans="25:26" ht="26.25">
      <c r="Y150" s="6"/>
      <c r="Z150" s="6"/>
    </row>
    <row r="151" spans="25:26" ht="26.25">
      <c r="Y151" s="6"/>
      <c r="Z151" s="6"/>
    </row>
    <row r="152" spans="25:26" ht="26.25">
      <c r="Y152" s="6"/>
      <c r="Z152" s="6"/>
    </row>
    <row r="153" spans="25:26" ht="26.25">
      <c r="Y153" s="6"/>
      <c r="Z153" s="6"/>
    </row>
    <row r="154" spans="25:26" ht="26.25">
      <c r="Y154" s="6"/>
      <c r="Z154" s="6"/>
    </row>
    <row r="155" spans="25:26" ht="26.25">
      <c r="Y155" s="6"/>
      <c r="Z155" s="6"/>
    </row>
    <row r="156" spans="25:26" ht="26.25">
      <c r="Y156" s="6"/>
      <c r="Z156" s="6"/>
    </row>
    <row r="157" spans="25:26" ht="26.25">
      <c r="Y157" s="6"/>
      <c r="Z157" s="6"/>
    </row>
    <row r="158" spans="25:26" ht="26.25">
      <c r="Y158" s="6"/>
      <c r="Z158" s="6"/>
    </row>
    <row r="159" spans="25:26" ht="26.25">
      <c r="Y159" s="6"/>
      <c r="Z159" s="6"/>
    </row>
    <row r="160" spans="25:26" ht="26.25">
      <c r="Y160" s="6"/>
      <c r="Z160" s="6"/>
    </row>
    <row r="161" spans="25:26" ht="26.25">
      <c r="Y161" s="6"/>
      <c r="Z161" s="6"/>
    </row>
    <row r="162" spans="25:26" ht="26.25">
      <c r="Y162" s="6"/>
      <c r="Z162" s="6"/>
    </row>
    <row r="163" spans="25:26" ht="26.25">
      <c r="Y163" s="6"/>
      <c r="Z163" s="6"/>
    </row>
    <row r="164" spans="25:26" ht="26.25">
      <c r="Y164" s="6"/>
      <c r="Z164" s="6"/>
    </row>
    <row r="165" spans="25:26" ht="26.25">
      <c r="Y165" s="6"/>
      <c r="Z165" s="6"/>
    </row>
    <row r="166" spans="25:26" ht="26.25">
      <c r="Y166" s="6"/>
      <c r="Z166" s="6"/>
    </row>
    <row r="167" spans="25:26" ht="26.25">
      <c r="Y167" s="6"/>
      <c r="Z167" s="6"/>
    </row>
    <row r="168" spans="25:26" ht="26.25">
      <c r="Y168" s="6"/>
      <c r="Z168" s="6"/>
    </row>
    <row r="169" spans="25:26" ht="26.25">
      <c r="Y169" s="6"/>
      <c r="Z169" s="6"/>
    </row>
    <row r="170" spans="25:26" ht="26.25">
      <c r="Y170" s="6"/>
      <c r="Z170" s="6"/>
    </row>
    <row r="171" spans="25:26" ht="26.25">
      <c r="Y171" s="6"/>
      <c r="Z171" s="6"/>
    </row>
    <row r="172" spans="25:26" ht="26.25">
      <c r="Y172" s="6"/>
      <c r="Z172" s="6"/>
    </row>
    <row r="173" spans="25:26" ht="26.25">
      <c r="Y173" s="6"/>
      <c r="Z173" s="6"/>
    </row>
    <row r="174" spans="25:26" ht="26.25">
      <c r="Y174" s="6"/>
      <c r="Z174" s="6"/>
    </row>
    <row r="175" spans="25:26" ht="26.25">
      <c r="Y175" s="6"/>
      <c r="Z175" s="6"/>
    </row>
    <row r="176" spans="25:26" ht="26.25">
      <c r="Y176" s="6"/>
      <c r="Z176" s="6"/>
    </row>
    <row r="177" spans="25:26" ht="26.25">
      <c r="Y177" s="6"/>
      <c r="Z177" s="6"/>
    </row>
    <row r="178" spans="25:26" ht="26.25">
      <c r="Y178" s="6"/>
      <c r="Z178" s="6"/>
    </row>
    <row r="179" spans="25:26" ht="26.25">
      <c r="Y179" s="6"/>
      <c r="Z179" s="6"/>
    </row>
    <row r="180" spans="25:26" ht="26.25">
      <c r="Y180" s="6"/>
      <c r="Z180" s="6"/>
    </row>
    <row r="181" spans="25:26" ht="26.25">
      <c r="Y181" s="6"/>
      <c r="Z181" s="6"/>
    </row>
    <row r="182" spans="25:26" ht="26.25">
      <c r="Y182" s="6"/>
      <c r="Z182" s="6"/>
    </row>
    <row r="183" spans="25:26" ht="26.25">
      <c r="Y183" s="6"/>
      <c r="Z183" s="6"/>
    </row>
    <row r="184" spans="25:26" ht="26.25">
      <c r="Y184" s="6"/>
      <c r="Z184" s="6"/>
    </row>
    <row r="185" spans="25:26" ht="26.25">
      <c r="Y185" s="6"/>
      <c r="Z185" s="6"/>
    </row>
    <row r="186" spans="25:26" ht="26.25">
      <c r="Y186" s="6"/>
      <c r="Z186" s="6"/>
    </row>
    <row r="187" spans="25:26" ht="26.25">
      <c r="Y187" s="6"/>
      <c r="Z187" s="6"/>
    </row>
    <row r="188" spans="25:26" ht="26.25">
      <c r="Y188" s="6"/>
      <c r="Z188" s="6"/>
    </row>
    <row r="189" spans="25:26" ht="26.25">
      <c r="Y189" s="6"/>
      <c r="Z189" s="6"/>
    </row>
    <row r="190" spans="25:26" ht="26.25">
      <c r="Y190" s="6"/>
      <c r="Z190" s="6"/>
    </row>
    <row r="191" spans="25:26" ht="26.25">
      <c r="Y191" s="6"/>
      <c r="Z191" s="6"/>
    </row>
    <row r="192" spans="25:26" ht="26.25">
      <c r="Y192" s="6"/>
      <c r="Z192" s="6"/>
    </row>
    <row r="193" spans="25:26" ht="26.25">
      <c r="Y193" s="6"/>
      <c r="Z193" s="6"/>
    </row>
    <row r="194" spans="25:26" ht="26.25">
      <c r="Y194" s="6"/>
      <c r="Z194" s="6"/>
    </row>
    <row r="195" spans="25:26" ht="26.25">
      <c r="Y195" s="6"/>
      <c r="Z195" s="6"/>
    </row>
    <row r="196" spans="25:26" ht="26.25">
      <c r="Y196" s="6"/>
      <c r="Z196" s="6"/>
    </row>
    <row r="197" spans="25:26" ht="26.25">
      <c r="Y197" s="6"/>
      <c r="Z197" s="6"/>
    </row>
    <row r="198" spans="25:26" ht="26.25">
      <c r="Y198" s="6"/>
      <c r="Z198" s="6"/>
    </row>
    <row r="199" spans="25:26" ht="26.25">
      <c r="Y199" s="6"/>
      <c r="Z199" s="6"/>
    </row>
    <row r="200" spans="25:26" ht="26.25">
      <c r="Y200" s="6"/>
      <c r="Z200" s="6"/>
    </row>
    <row r="201" spans="25:26" ht="26.25">
      <c r="Y201" s="6"/>
      <c r="Z201" s="6"/>
    </row>
    <row r="202" spans="25:26" ht="26.25">
      <c r="Y202" s="6"/>
      <c r="Z202" s="6"/>
    </row>
    <row r="203" spans="25:26" ht="26.25">
      <c r="Y203" s="6"/>
      <c r="Z203" s="6"/>
    </row>
    <row r="204" spans="25:26" ht="26.25">
      <c r="Y204" s="6"/>
      <c r="Z204" s="6"/>
    </row>
    <row r="205" spans="25:26" ht="26.25">
      <c r="Y205" s="6"/>
      <c r="Z205" s="6"/>
    </row>
    <row r="206" spans="25:26" ht="26.25">
      <c r="Y206" s="6"/>
      <c r="Z206" s="6"/>
    </row>
    <row r="207" spans="25:26" ht="26.25">
      <c r="Y207" s="6"/>
      <c r="Z207" s="6"/>
    </row>
    <row r="208" spans="25:26" ht="26.25">
      <c r="Y208" s="6"/>
      <c r="Z208" s="6"/>
    </row>
    <row r="209" spans="25:26" ht="26.25">
      <c r="Y209" s="6"/>
      <c r="Z209" s="6"/>
    </row>
    <row r="210" spans="25:26" ht="26.25">
      <c r="Y210" s="6"/>
      <c r="Z210" s="6"/>
    </row>
    <row r="211" spans="25:26" ht="26.25">
      <c r="Y211" s="6"/>
      <c r="Z211" s="6"/>
    </row>
    <row r="212" spans="25:26" ht="26.25">
      <c r="Y212" s="6"/>
      <c r="Z212" s="6"/>
    </row>
    <row r="213" spans="25:26" ht="26.25">
      <c r="Y213" s="6"/>
      <c r="Z213" s="6"/>
    </row>
    <row r="214" spans="25:26" ht="26.25">
      <c r="Y214" s="6"/>
      <c r="Z214" s="6"/>
    </row>
    <row r="215" spans="25:26" ht="26.25">
      <c r="Y215" s="6"/>
      <c r="Z215" s="6"/>
    </row>
    <row r="216" spans="25:26" ht="26.25">
      <c r="Y216" s="6"/>
      <c r="Z216" s="6"/>
    </row>
    <row r="217" spans="25:26" ht="26.25">
      <c r="Y217" s="6"/>
      <c r="Z217" s="6"/>
    </row>
    <row r="218" spans="25:26" ht="26.25">
      <c r="Y218" s="6"/>
      <c r="Z218" s="6"/>
    </row>
    <row r="219" spans="25:26" ht="26.25">
      <c r="Y219" s="6"/>
      <c r="Z219" s="6"/>
    </row>
    <row r="220" spans="25:26" ht="26.25">
      <c r="Y220" s="6"/>
      <c r="Z220" s="6"/>
    </row>
    <row r="221" spans="25:26" ht="26.25">
      <c r="Y221" s="6"/>
      <c r="Z221" s="6"/>
    </row>
    <row r="222" spans="25:26" ht="26.25">
      <c r="Y222" s="6"/>
      <c r="Z222" s="6"/>
    </row>
    <row r="223" spans="25:26" ht="26.25">
      <c r="Y223" s="6"/>
      <c r="Z223" s="6"/>
    </row>
    <row r="224" spans="25:26" ht="26.25">
      <c r="Y224" s="6"/>
      <c r="Z224" s="6"/>
    </row>
    <row r="225" spans="25:26" ht="26.25">
      <c r="Y225" s="6"/>
      <c r="Z225" s="6"/>
    </row>
    <row r="226" spans="25:26" ht="26.25">
      <c r="Y226" s="6"/>
      <c r="Z226" s="6"/>
    </row>
    <row r="227" spans="25:26" ht="26.25">
      <c r="Y227" s="6"/>
      <c r="Z227" s="6"/>
    </row>
    <row r="228" spans="25:26" ht="26.25">
      <c r="Y228" s="6"/>
      <c r="Z228" s="6"/>
    </row>
    <row r="229" spans="25:26" ht="26.25">
      <c r="Y229" s="6"/>
      <c r="Z229" s="6"/>
    </row>
    <row r="230" spans="25:26" ht="26.25">
      <c r="Y230" s="6"/>
      <c r="Z230" s="6"/>
    </row>
    <row r="231" spans="25:26" ht="26.25">
      <c r="Y231" s="6"/>
      <c r="Z231" s="6"/>
    </row>
    <row r="232" spans="25:26" ht="26.25">
      <c r="Y232" s="6"/>
      <c r="Z232" s="6"/>
    </row>
    <row r="233" spans="25:26" ht="26.25">
      <c r="Y233" s="6"/>
      <c r="Z233" s="6"/>
    </row>
    <row r="234" spans="25:26" ht="26.25">
      <c r="Y234" s="6"/>
      <c r="Z234" s="6"/>
    </row>
    <row r="235" spans="25:26" ht="26.25">
      <c r="Y235" s="6"/>
      <c r="Z235" s="6"/>
    </row>
    <row r="236" spans="25:26" ht="26.25">
      <c r="Y236" s="6"/>
      <c r="Z236" s="6"/>
    </row>
    <row r="237" spans="25:26" ht="26.25">
      <c r="Y237" s="6"/>
      <c r="Z237" s="6"/>
    </row>
    <row r="238" spans="25:26" ht="26.25">
      <c r="Y238" s="6"/>
      <c r="Z238" s="6"/>
    </row>
    <row r="239" spans="25:26" ht="26.25">
      <c r="Y239" s="6"/>
      <c r="Z239" s="6"/>
    </row>
    <row r="240" spans="25:26" ht="26.25">
      <c r="Y240" s="6"/>
      <c r="Z240" s="6"/>
    </row>
    <row r="241" spans="25:26" ht="26.25">
      <c r="Y241" s="6"/>
      <c r="Z241" s="6"/>
    </row>
    <row r="242" spans="25:26" ht="26.25">
      <c r="Y242" s="6"/>
      <c r="Z242" s="6"/>
    </row>
    <row r="243" spans="25:26" ht="26.25">
      <c r="Y243" s="6"/>
      <c r="Z243" s="6"/>
    </row>
    <row r="244" spans="25:26" ht="26.25">
      <c r="Y244" s="6"/>
      <c r="Z244" s="6"/>
    </row>
    <row r="245" spans="25:26" ht="26.25">
      <c r="Y245" s="6"/>
      <c r="Z245" s="6"/>
    </row>
    <row r="246" spans="25:26" ht="26.25">
      <c r="Y246" s="6"/>
      <c r="Z246" s="6"/>
    </row>
    <row r="247" spans="25:26" ht="26.25">
      <c r="Y247" s="6"/>
      <c r="Z247" s="6"/>
    </row>
    <row r="248" spans="25:26" ht="26.25">
      <c r="Y248" s="6"/>
      <c r="Z248" s="6"/>
    </row>
    <row r="249" spans="25:26" ht="26.25">
      <c r="Y249" s="6"/>
      <c r="Z249" s="6"/>
    </row>
    <row r="250" spans="25:26" ht="26.25">
      <c r="Y250" s="6"/>
      <c r="Z250" s="6"/>
    </row>
    <row r="251" spans="25:26" ht="26.25">
      <c r="Y251" s="6"/>
      <c r="Z251" s="6"/>
    </row>
    <row r="252" spans="25:26" ht="26.25">
      <c r="Y252" s="6"/>
      <c r="Z252" s="6"/>
    </row>
    <row r="253" spans="25:26" ht="26.25">
      <c r="Y253" s="6"/>
      <c r="Z253" s="6"/>
    </row>
    <row r="254" spans="25:26" ht="26.25">
      <c r="Y254" s="6"/>
      <c r="Z254" s="6"/>
    </row>
    <row r="255" spans="25:26" ht="26.25">
      <c r="Y255" s="6"/>
      <c r="Z255" s="6"/>
    </row>
    <row r="256" spans="25:26" ht="26.25">
      <c r="Y256" s="6"/>
      <c r="Z256" s="6"/>
    </row>
    <row r="257" spans="25:26" ht="26.25">
      <c r="Y257" s="6"/>
      <c r="Z257" s="6"/>
    </row>
    <row r="258" spans="25:26" ht="26.25">
      <c r="Y258" s="6"/>
      <c r="Z258" s="6"/>
    </row>
    <row r="259" spans="25:26" ht="26.25">
      <c r="Y259" s="6"/>
      <c r="Z259" s="6"/>
    </row>
    <row r="260" spans="25:26" ht="26.25">
      <c r="Y260" s="6"/>
      <c r="Z260" s="6"/>
    </row>
    <row r="261" spans="25:26" ht="26.25">
      <c r="Y261" s="6"/>
      <c r="Z261" s="6"/>
    </row>
    <row r="262" spans="25:26" ht="26.25">
      <c r="Y262" s="6"/>
      <c r="Z262" s="6"/>
    </row>
    <row r="263" spans="25:26" ht="26.25">
      <c r="Y263" s="6"/>
      <c r="Z263" s="6"/>
    </row>
    <row r="264" spans="25:26" ht="26.25">
      <c r="Y264" s="6"/>
      <c r="Z264" s="6"/>
    </row>
    <row r="265" spans="25:26" ht="26.25">
      <c r="Y265" s="6"/>
      <c r="Z265" s="6"/>
    </row>
    <row r="266" spans="25:26" ht="26.25">
      <c r="Y266" s="6"/>
      <c r="Z266" s="6"/>
    </row>
    <row r="267" spans="25:26" ht="26.25">
      <c r="Y267" s="6"/>
      <c r="Z267" s="6"/>
    </row>
    <row r="268" spans="25:26" ht="26.25">
      <c r="Y268" s="6"/>
      <c r="Z268" s="6"/>
    </row>
    <row r="269" spans="25:26" ht="26.25">
      <c r="Y269" s="6"/>
      <c r="Z269" s="6"/>
    </row>
    <row r="270" spans="25:26" ht="26.25">
      <c r="Y270" s="6"/>
      <c r="Z270" s="6"/>
    </row>
    <row r="271" spans="25:26" ht="26.25">
      <c r="Y271" s="6"/>
      <c r="Z271" s="6"/>
    </row>
    <row r="272" spans="25:26" ht="26.25">
      <c r="Y272" s="6"/>
      <c r="Z272" s="6"/>
    </row>
    <row r="273" spans="25:26" ht="26.25">
      <c r="Y273" s="6"/>
      <c r="Z273" s="6"/>
    </row>
    <row r="274" spans="25:26" ht="26.25">
      <c r="Y274" s="6"/>
      <c r="Z274" s="6"/>
    </row>
    <row r="275" spans="25:26" ht="26.25">
      <c r="Y275" s="6"/>
      <c r="Z275" s="6"/>
    </row>
    <row r="276" spans="25:26" ht="26.25">
      <c r="Y276" s="6"/>
      <c r="Z276" s="6"/>
    </row>
    <row r="277" spans="25:26" ht="26.25">
      <c r="Y277" s="6"/>
      <c r="Z277" s="6"/>
    </row>
    <row r="278" spans="25:26" ht="26.25">
      <c r="Y278" s="6"/>
      <c r="Z278" s="6"/>
    </row>
    <row r="279" spans="25:26" ht="26.25">
      <c r="Y279" s="6"/>
      <c r="Z279" s="6"/>
    </row>
    <row r="280" spans="25:26" ht="26.25">
      <c r="Y280" s="6"/>
      <c r="Z280" s="6"/>
    </row>
    <row r="281" spans="25:26" ht="26.25">
      <c r="Y281" s="6"/>
      <c r="Z281" s="6"/>
    </row>
    <row r="282" spans="25:26" ht="26.25">
      <c r="Y282" s="6"/>
      <c r="Z282" s="6"/>
    </row>
    <row r="283" spans="25:26" ht="26.25">
      <c r="Y283" s="6"/>
      <c r="Z283" s="6"/>
    </row>
    <row r="284" spans="25:26" ht="26.25">
      <c r="Y284" s="6"/>
      <c r="Z284" s="6"/>
    </row>
    <row r="285" spans="25:26" ht="26.25">
      <c r="Y285" s="6"/>
      <c r="Z285" s="6"/>
    </row>
    <row r="286" spans="25:26" ht="26.25">
      <c r="Y286" s="6"/>
      <c r="Z286" s="6"/>
    </row>
    <row r="287" spans="25:26" ht="26.25">
      <c r="Y287" s="6"/>
      <c r="Z287" s="6"/>
    </row>
    <row r="288" spans="25:26" ht="26.25">
      <c r="Y288" s="6"/>
      <c r="Z288" s="6"/>
    </row>
    <row r="289" spans="25:26" ht="26.25">
      <c r="Y289" s="6"/>
      <c r="Z289" s="6"/>
    </row>
    <row r="290" spans="25:26" ht="26.25">
      <c r="Y290" s="6"/>
      <c r="Z290" s="6"/>
    </row>
    <row r="291" spans="25:26" ht="26.25">
      <c r="Y291" s="6"/>
      <c r="Z291" s="6"/>
    </row>
    <row r="292" spans="25:26" ht="26.25">
      <c r="Y292" s="6"/>
      <c r="Z292" s="6"/>
    </row>
    <row r="293" spans="25:26" ht="26.25">
      <c r="Y293" s="6"/>
      <c r="Z293" s="6"/>
    </row>
    <row r="294" spans="25:26" ht="26.25">
      <c r="Y294" s="6"/>
      <c r="Z294" s="6"/>
    </row>
    <row r="295" spans="25:26" ht="26.25">
      <c r="Y295" s="6"/>
      <c r="Z295" s="6"/>
    </row>
    <row r="296" spans="25:26" ht="26.25">
      <c r="Y296" s="6"/>
      <c r="Z296" s="6"/>
    </row>
    <row r="297" spans="25:26" ht="26.25">
      <c r="Y297" s="6"/>
      <c r="Z297" s="6"/>
    </row>
    <row r="298" spans="25:26" ht="26.25">
      <c r="Y298" s="6"/>
      <c r="Z298" s="6"/>
    </row>
    <row r="299" spans="25:26" ht="26.25">
      <c r="Y299" s="6"/>
      <c r="Z299" s="6"/>
    </row>
    <row r="300" spans="25:26" ht="26.25">
      <c r="Y300" s="6"/>
      <c r="Z300" s="6"/>
    </row>
    <row r="301" spans="25:26" ht="26.25">
      <c r="Y301" s="6"/>
      <c r="Z301" s="6"/>
    </row>
    <row r="302" spans="25:26" ht="26.25">
      <c r="Y302" s="6"/>
      <c r="Z302" s="6"/>
    </row>
    <row r="303" spans="25:26" ht="26.25">
      <c r="Y303" s="6"/>
      <c r="Z303" s="6"/>
    </row>
    <row r="304" spans="25:26" ht="26.25">
      <c r="Y304" s="6"/>
      <c r="Z304" s="6"/>
    </row>
    <row r="305" spans="25:26" ht="26.25">
      <c r="Y305" s="6"/>
      <c r="Z305" s="6"/>
    </row>
    <row r="306" spans="25:26" ht="26.25">
      <c r="Y306" s="6"/>
      <c r="Z306" s="6"/>
    </row>
    <row r="307" spans="25:26" ht="26.25">
      <c r="Y307" s="6"/>
      <c r="Z307" s="6"/>
    </row>
    <row r="308" spans="25:26" ht="26.25">
      <c r="Y308" s="6"/>
      <c r="Z308" s="6"/>
    </row>
    <row r="309" spans="25:26" ht="26.25">
      <c r="Y309" s="6"/>
      <c r="Z309" s="6"/>
    </row>
    <row r="310" spans="25:26" ht="26.25">
      <c r="Y310" s="6"/>
      <c r="Z310" s="6"/>
    </row>
    <row r="311" spans="25:26" ht="26.25">
      <c r="Y311" s="6"/>
      <c r="Z311" s="6"/>
    </row>
    <row r="312" spans="25:26" ht="26.25">
      <c r="Y312" s="6"/>
      <c r="Z312" s="6"/>
    </row>
    <row r="313" spans="25:26" ht="26.25">
      <c r="Y313" s="6"/>
      <c r="Z313" s="6"/>
    </row>
    <row r="314" spans="25:26" ht="26.25">
      <c r="Y314" s="6"/>
      <c r="Z314" s="6"/>
    </row>
    <row r="315" spans="25:26" ht="26.25">
      <c r="Y315" s="6"/>
      <c r="Z315" s="6"/>
    </row>
    <row r="316" spans="25:26" ht="26.25">
      <c r="Y316" s="6"/>
      <c r="Z316" s="6"/>
    </row>
    <row r="317" spans="25:26" ht="26.25">
      <c r="Y317" s="6"/>
      <c r="Z317" s="6"/>
    </row>
    <row r="318" spans="25:26" ht="26.25">
      <c r="Y318" s="6"/>
      <c r="Z318" s="6"/>
    </row>
    <row r="319" spans="25:26" ht="26.25">
      <c r="Y319" s="6"/>
      <c r="Z319" s="6"/>
    </row>
    <row r="320" spans="25:26" ht="26.25">
      <c r="Y320" s="6"/>
      <c r="Z320" s="6"/>
    </row>
    <row r="321" spans="25:26" ht="26.25">
      <c r="Y321" s="6"/>
      <c r="Z321" s="6"/>
    </row>
    <row r="322" spans="25:26" ht="26.25">
      <c r="Y322" s="6"/>
      <c r="Z322" s="6"/>
    </row>
    <row r="323" spans="25:26" ht="26.25">
      <c r="Y323" s="6"/>
      <c r="Z323" s="6"/>
    </row>
    <row r="324" spans="25:26" ht="26.25">
      <c r="Y324" s="6"/>
      <c r="Z324" s="6"/>
    </row>
    <row r="325" spans="25:26" ht="26.25">
      <c r="Y325" s="6"/>
      <c r="Z325" s="6"/>
    </row>
    <row r="326" spans="25:26" ht="26.25">
      <c r="Y326" s="6"/>
      <c r="Z326" s="6"/>
    </row>
    <row r="327" spans="25:26" ht="26.25">
      <c r="Y327" s="6"/>
      <c r="Z327" s="6"/>
    </row>
    <row r="328" spans="25:26" ht="26.25">
      <c r="Y328" s="6"/>
      <c r="Z328" s="6"/>
    </row>
    <row r="329" spans="25:26" ht="26.25">
      <c r="Y329" s="6"/>
      <c r="Z329" s="6"/>
    </row>
    <row r="330" spans="25:26" ht="26.25">
      <c r="Y330" s="6"/>
      <c r="Z330" s="6"/>
    </row>
    <row r="331" spans="25:26" ht="26.25">
      <c r="Y331" s="6"/>
      <c r="Z331" s="6"/>
    </row>
    <row r="332" spans="25:26" ht="26.25">
      <c r="Y332" s="6"/>
      <c r="Z332" s="6"/>
    </row>
    <row r="333" spans="25:26" ht="26.25">
      <c r="Y333" s="6"/>
      <c r="Z333" s="6"/>
    </row>
    <row r="334" spans="25:26" ht="26.25">
      <c r="Y334" s="6"/>
      <c r="Z334" s="6"/>
    </row>
    <row r="335" spans="25:26" ht="26.25">
      <c r="Y335" s="6"/>
      <c r="Z335" s="6"/>
    </row>
    <row r="336" spans="25:26" ht="26.25">
      <c r="Y336" s="6"/>
      <c r="Z336" s="6"/>
    </row>
    <row r="337" spans="25:26" ht="26.25">
      <c r="Y337" s="6"/>
      <c r="Z337" s="6"/>
    </row>
    <row r="338" spans="25:26" ht="26.25">
      <c r="Y338" s="6"/>
      <c r="Z338" s="6"/>
    </row>
    <row r="339" spans="25:26" ht="26.25">
      <c r="Y339" s="6"/>
      <c r="Z339" s="6"/>
    </row>
    <row r="340" spans="25:26" ht="26.25">
      <c r="Y340" s="6"/>
      <c r="Z340" s="6"/>
    </row>
    <row r="341" spans="25:26" ht="26.25">
      <c r="Y341" s="6"/>
      <c r="Z341" s="6"/>
    </row>
    <row r="342" spans="25:26" ht="26.25">
      <c r="Y342" s="6"/>
      <c r="Z342" s="6"/>
    </row>
    <row r="343" spans="25:26" ht="26.25">
      <c r="Y343" s="6"/>
      <c r="Z343" s="6"/>
    </row>
    <row r="344" spans="25:26" ht="26.25">
      <c r="Y344" s="6"/>
      <c r="Z344" s="6"/>
    </row>
    <row r="345" spans="25:26" ht="26.25">
      <c r="Y345" s="6"/>
      <c r="Z345" s="6"/>
    </row>
    <row r="346" spans="25:26" ht="26.25">
      <c r="Y346" s="6"/>
      <c r="Z346" s="6"/>
    </row>
    <row r="347" spans="25:26" ht="26.25">
      <c r="Y347" s="6"/>
      <c r="Z347" s="6"/>
    </row>
    <row r="348" spans="25:26" ht="26.25">
      <c r="Y348" s="6"/>
      <c r="Z348" s="6"/>
    </row>
    <row r="349" spans="25:26" ht="26.25">
      <c r="Y349" s="6"/>
      <c r="Z349" s="6"/>
    </row>
    <row r="350" spans="25:26" ht="26.25">
      <c r="Y350" s="6"/>
      <c r="Z350" s="6"/>
    </row>
    <row r="351" spans="25:26" ht="26.25">
      <c r="Y351" s="6"/>
      <c r="Z351" s="6"/>
    </row>
    <row r="352" spans="25:26" ht="26.25">
      <c r="Y352" s="6"/>
      <c r="Z352" s="6"/>
    </row>
    <row r="353" spans="25:26" ht="26.25">
      <c r="Y353" s="6"/>
      <c r="Z353" s="6"/>
    </row>
    <row r="354" spans="25:26" ht="26.25">
      <c r="Y354" s="6"/>
      <c r="Z354" s="6"/>
    </row>
    <row r="355" spans="25:26" ht="26.25">
      <c r="Y355" s="6"/>
      <c r="Z355" s="6"/>
    </row>
    <row r="356" spans="25:26" ht="26.25">
      <c r="Y356" s="6"/>
      <c r="Z356" s="6"/>
    </row>
    <row r="357" spans="25:26" ht="26.25">
      <c r="Y357" s="6"/>
      <c r="Z357" s="6"/>
    </row>
    <row r="358" spans="25:26" ht="26.25">
      <c r="Y358" s="6"/>
      <c r="Z358" s="6"/>
    </row>
    <row r="359" spans="25:26" ht="26.25">
      <c r="Y359" s="6"/>
      <c r="Z359" s="6"/>
    </row>
    <row r="360" spans="25:26" ht="26.25">
      <c r="Y360" s="6"/>
      <c r="Z360" s="6"/>
    </row>
    <row r="361" spans="25:26" ht="26.25">
      <c r="Y361" s="6"/>
      <c r="Z361" s="6"/>
    </row>
    <row r="362" spans="25:26" ht="26.25">
      <c r="Y362" s="6"/>
      <c r="Z362" s="6"/>
    </row>
    <row r="363" spans="25:26" ht="26.25">
      <c r="Y363" s="6"/>
      <c r="Z363" s="6"/>
    </row>
    <row r="364" spans="25:26" ht="26.25">
      <c r="Y364" s="6"/>
      <c r="Z364" s="6"/>
    </row>
    <row r="365" spans="25:26" ht="26.25">
      <c r="Y365" s="6"/>
      <c r="Z365" s="6"/>
    </row>
    <row r="366" spans="25:26" ht="26.25">
      <c r="Y366" s="6"/>
      <c r="Z366" s="6"/>
    </row>
    <row r="367" spans="25:26" ht="26.25">
      <c r="Y367" s="6"/>
      <c r="Z367" s="6"/>
    </row>
    <row r="368" spans="25:26" ht="26.25">
      <c r="Y368" s="6"/>
      <c r="Z368" s="6"/>
    </row>
    <row r="369" spans="25:26" ht="26.25">
      <c r="Y369" s="6"/>
      <c r="Z369" s="6"/>
    </row>
    <row r="370" spans="25:26" ht="26.25">
      <c r="Y370" s="6"/>
      <c r="Z370" s="6"/>
    </row>
    <row r="371" spans="25:26" ht="26.25">
      <c r="Y371" s="6"/>
      <c r="Z371" s="6"/>
    </row>
    <row r="372" spans="25:26" ht="26.25">
      <c r="Y372" s="6"/>
      <c r="Z372" s="6"/>
    </row>
    <row r="373" spans="25:26" ht="26.25">
      <c r="Y373" s="6"/>
      <c r="Z373" s="6"/>
    </row>
    <row r="374" spans="25:26" ht="26.25">
      <c r="Y374" s="6"/>
      <c r="Z374" s="6"/>
    </row>
    <row r="375" spans="25:26" ht="26.25">
      <c r="Y375" s="6"/>
      <c r="Z375" s="6"/>
    </row>
    <row r="376" spans="25:26" ht="26.25">
      <c r="Y376" s="6"/>
      <c r="Z376" s="6"/>
    </row>
    <row r="377" spans="25:26" ht="26.25">
      <c r="Y377" s="6"/>
      <c r="Z377" s="6"/>
    </row>
    <row r="378" spans="25:26" ht="26.25">
      <c r="Y378" s="6"/>
      <c r="Z378" s="6"/>
    </row>
    <row r="379" spans="25:26" ht="26.25">
      <c r="Y379" s="6"/>
      <c r="Z379" s="6"/>
    </row>
    <row r="380" spans="25:26" ht="26.25">
      <c r="Y380" s="6"/>
      <c r="Z380" s="6"/>
    </row>
    <row r="381" spans="25:26" ht="26.25">
      <c r="Y381" s="6"/>
      <c r="Z381" s="6"/>
    </row>
    <row r="382" spans="25:26" ht="26.25">
      <c r="Y382" s="6"/>
      <c r="Z382" s="6"/>
    </row>
    <row r="383" spans="25:26" ht="26.25">
      <c r="Y383" s="6"/>
      <c r="Z383" s="6"/>
    </row>
    <row r="384" spans="25:26" ht="26.25">
      <c r="Y384" s="6"/>
      <c r="Z384" s="6"/>
    </row>
    <row r="385" spans="25:26" ht="26.25">
      <c r="Y385" s="6"/>
      <c r="Z385" s="6"/>
    </row>
    <row r="386" spans="25:26" ht="26.25">
      <c r="Y386" s="6"/>
      <c r="Z386" s="6"/>
    </row>
    <row r="387" spans="25:26" ht="26.25">
      <c r="Y387" s="6"/>
      <c r="Z387" s="6"/>
    </row>
    <row r="388" spans="25:26" ht="26.25">
      <c r="Y388" s="6"/>
      <c r="Z388" s="6"/>
    </row>
    <row r="389" spans="25:26" ht="26.25">
      <c r="Y389" s="6"/>
      <c r="Z389" s="6"/>
    </row>
    <row r="390" spans="25:26" ht="26.25">
      <c r="Y390" s="6"/>
      <c r="Z390" s="6"/>
    </row>
    <row r="391" spans="25:26" ht="26.25">
      <c r="Y391" s="6"/>
      <c r="Z391" s="6"/>
    </row>
    <row r="392" spans="25:26" ht="26.25">
      <c r="Y392" s="6"/>
      <c r="Z392" s="6"/>
    </row>
    <row r="393" spans="25:26" ht="26.25">
      <c r="Y393" s="6"/>
      <c r="Z393" s="6"/>
    </row>
    <row r="394" spans="25:26" ht="26.25">
      <c r="Y394" s="6"/>
      <c r="Z394" s="6"/>
    </row>
    <row r="395" spans="25:26" ht="26.25">
      <c r="Y395" s="6"/>
      <c r="Z395" s="6"/>
    </row>
    <row r="396" spans="25:26" ht="26.25">
      <c r="Y396" s="6"/>
      <c r="Z396" s="6"/>
    </row>
    <row r="397" spans="25:26" ht="26.25">
      <c r="Y397" s="6"/>
      <c r="Z397" s="6"/>
    </row>
    <row r="398" spans="25:26" ht="26.25">
      <c r="Y398" s="6"/>
      <c r="Z398" s="6"/>
    </row>
    <row r="399" spans="25:26" ht="26.25">
      <c r="Y399" s="6"/>
      <c r="Z399" s="6"/>
    </row>
    <row r="400" spans="25:26" ht="26.25">
      <c r="Y400" s="6"/>
      <c r="Z400" s="6"/>
    </row>
    <row r="401" spans="25:26" ht="26.25">
      <c r="Y401" s="6"/>
      <c r="Z401" s="6"/>
    </row>
    <row r="402" spans="25:26" ht="26.25">
      <c r="Y402" s="6"/>
      <c r="Z402" s="6"/>
    </row>
    <row r="403" spans="25:26" ht="26.25">
      <c r="Y403" s="6"/>
      <c r="Z403" s="6"/>
    </row>
    <row r="404" spans="25:26" ht="26.25">
      <c r="Y404" s="6"/>
      <c r="Z404" s="6"/>
    </row>
    <row r="405" spans="25:26" ht="26.25">
      <c r="Y405" s="6"/>
      <c r="Z405" s="6"/>
    </row>
    <row r="406" spans="25:26" ht="26.25">
      <c r="Y406" s="6"/>
      <c r="Z406" s="6"/>
    </row>
    <row r="407" spans="25:26" ht="26.25">
      <c r="Y407" s="6"/>
      <c r="Z407" s="6"/>
    </row>
    <row r="408" spans="25:26" ht="26.25">
      <c r="Y408" s="6"/>
      <c r="Z408" s="6"/>
    </row>
    <row r="409" spans="25:26" ht="26.25">
      <c r="Y409" s="6"/>
      <c r="Z409" s="6"/>
    </row>
    <row r="410" spans="25:26" ht="26.25">
      <c r="Y410" s="6"/>
      <c r="Z410" s="6"/>
    </row>
    <row r="411" spans="25:26" ht="26.25">
      <c r="Y411" s="6"/>
      <c r="Z411" s="6"/>
    </row>
    <row r="412" spans="25:26" ht="26.25">
      <c r="Y412" s="6"/>
      <c r="Z412" s="6"/>
    </row>
    <row r="413" spans="25:26" ht="26.25">
      <c r="Y413" s="6"/>
      <c r="Z413" s="6"/>
    </row>
    <row r="414" spans="25:26" ht="26.25">
      <c r="Y414" s="6"/>
      <c r="Z414" s="6"/>
    </row>
    <row r="415" spans="25:26" ht="26.25">
      <c r="Y415" s="6"/>
      <c r="Z415" s="6"/>
    </row>
    <row r="416" spans="25:26" ht="26.25">
      <c r="Y416" s="6"/>
      <c r="Z416" s="6"/>
    </row>
    <row r="417" spans="25:26" ht="26.25">
      <c r="Y417" s="6"/>
      <c r="Z417" s="6"/>
    </row>
    <row r="418" spans="25:26" ht="26.25">
      <c r="Y418" s="6"/>
      <c r="Z418" s="6"/>
    </row>
    <row r="419" spans="25:26" ht="26.25">
      <c r="Y419" s="6"/>
      <c r="Z419" s="6"/>
    </row>
    <row r="420" spans="25:26" ht="26.25">
      <c r="Y420" s="6"/>
      <c r="Z420" s="6"/>
    </row>
    <row r="421" spans="25:26" ht="26.25">
      <c r="Y421" s="6"/>
      <c r="Z421" s="6"/>
    </row>
    <row r="422" spans="25:26" ht="26.25">
      <c r="Y422" s="6"/>
      <c r="Z422" s="6"/>
    </row>
    <row r="423" spans="25:26" ht="26.25">
      <c r="Y423" s="6"/>
      <c r="Z423" s="6"/>
    </row>
    <row r="424" spans="25:26" ht="26.25">
      <c r="Y424" s="6"/>
      <c r="Z424" s="6"/>
    </row>
    <row r="425" spans="25:26" ht="26.25">
      <c r="Y425" s="6"/>
      <c r="Z425" s="6"/>
    </row>
    <row r="426" spans="25:26" ht="26.25">
      <c r="Y426" s="6"/>
      <c r="Z426" s="6"/>
    </row>
    <row r="427" spans="25:26" ht="26.25">
      <c r="Y427" s="6"/>
      <c r="Z427" s="6"/>
    </row>
    <row r="428" spans="25:26" ht="26.25">
      <c r="Y428" s="6"/>
      <c r="Z428" s="6"/>
    </row>
    <row r="429" spans="25:26" ht="26.25">
      <c r="Y429" s="6"/>
      <c r="Z429" s="6"/>
    </row>
    <row r="430" spans="25:26" ht="26.25">
      <c r="Y430" s="6"/>
      <c r="Z430" s="6"/>
    </row>
    <row r="431" spans="25:26" ht="26.25">
      <c r="Y431" s="6"/>
      <c r="Z431" s="6"/>
    </row>
    <row r="432" spans="25:26" ht="26.25">
      <c r="Y432" s="6"/>
      <c r="Z432" s="6"/>
    </row>
    <row r="433" spans="25:26" ht="26.25">
      <c r="Y433" s="6"/>
      <c r="Z433" s="6"/>
    </row>
    <row r="434" spans="25:26" ht="26.25">
      <c r="Y434" s="6"/>
      <c r="Z434" s="6"/>
    </row>
    <row r="435" spans="25:26" ht="26.25">
      <c r="Y435" s="6"/>
      <c r="Z435" s="6"/>
    </row>
    <row r="436" spans="25:26" ht="26.25">
      <c r="Y436" s="6"/>
      <c r="Z436" s="6"/>
    </row>
    <row r="437" spans="25:26" ht="26.25">
      <c r="Y437" s="6"/>
      <c r="Z437" s="6"/>
    </row>
    <row r="438" spans="25:26" ht="26.25">
      <c r="Y438" s="6"/>
      <c r="Z438" s="6"/>
    </row>
    <row r="439" spans="25:26" ht="26.25">
      <c r="Y439" s="6"/>
      <c r="Z439" s="6"/>
    </row>
    <row r="440" spans="25:26" ht="26.25">
      <c r="Y440" s="6"/>
      <c r="Z440" s="6"/>
    </row>
    <row r="441" spans="25:26" ht="26.25">
      <c r="Y441" s="6"/>
      <c r="Z441" s="6"/>
    </row>
    <row r="442" spans="25:26" ht="26.25">
      <c r="Y442" s="6"/>
      <c r="Z442" s="6"/>
    </row>
    <row r="443" spans="25:26" ht="26.25">
      <c r="Y443" s="6"/>
      <c r="Z443" s="6"/>
    </row>
    <row r="444" spans="25:26" ht="26.25">
      <c r="Y444" s="6"/>
      <c r="Z444" s="6"/>
    </row>
    <row r="445" spans="25:26" ht="26.25">
      <c r="Y445" s="6"/>
      <c r="Z445" s="6"/>
    </row>
    <row r="446" spans="25:26" ht="26.25">
      <c r="Y446" s="6"/>
      <c r="Z446" s="6"/>
    </row>
    <row r="447" spans="25:26" ht="26.25">
      <c r="Y447" s="6"/>
      <c r="Z447" s="6"/>
    </row>
    <row r="448" spans="25:26" ht="26.25">
      <c r="Y448" s="6"/>
      <c r="Z448" s="6"/>
    </row>
    <row r="449" spans="25:26" ht="26.25">
      <c r="Y449" s="6"/>
      <c r="Z449" s="6"/>
    </row>
    <row r="450" spans="25:26" ht="26.25">
      <c r="Y450" s="6"/>
      <c r="Z450" s="6"/>
    </row>
    <row r="451" spans="25:26" ht="26.25">
      <c r="Y451" s="6"/>
      <c r="Z451" s="6"/>
    </row>
    <row r="452" spans="25:26" ht="26.25">
      <c r="Y452" s="6"/>
      <c r="Z452" s="6"/>
    </row>
    <row r="453" spans="25:26" ht="26.25">
      <c r="Y453" s="6"/>
      <c r="Z453" s="6"/>
    </row>
    <row r="454" spans="25:26" ht="26.25">
      <c r="Y454" s="6"/>
      <c r="Z454" s="6"/>
    </row>
    <row r="455" spans="25:26" ht="26.25">
      <c r="Y455" s="6"/>
      <c r="Z455" s="6"/>
    </row>
    <row r="456" spans="25:26" ht="26.25">
      <c r="Y456" s="6"/>
      <c r="Z456" s="6"/>
    </row>
    <row r="457" spans="25:26" ht="26.25">
      <c r="Y457" s="6"/>
      <c r="Z457" s="6"/>
    </row>
    <row r="458" spans="25:26" ht="26.25">
      <c r="Y458" s="6"/>
      <c r="Z458" s="6"/>
    </row>
    <row r="459" spans="25:26" ht="26.25">
      <c r="Y459" s="6"/>
      <c r="Z459" s="6"/>
    </row>
    <row r="460" spans="25:26" ht="26.25">
      <c r="Y460" s="6"/>
      <c r="Z460" s="6"/>
    </row>
    <row r="461" spans="25:26" ht="26.25">
      <c r="Y461" s="6"/>
      <c r="Z461" s="6"/>
    </row>
    <row r="462" spans="25:26" ht="26.25">
      <c r="Y462" s="6"/>
      <c r="Z462" s="6"/>
    </row>
    <row r="463" spans="25:26" ht="26.25">
      <c r="Y463" s="6"/>
      <c r="Z463" s="6"/>
    </row>
    <row r="464" spans="25:26" ht="26.25">
      <c r="Y464" s="6"/>
      <c r="Z464" s="6"/>
    </row>
    <row r="465" spans="25:26" ht="26.25">
      <c r="Y465" s="6"/>
      <c r="Z465" s="6"/>
    </row>
    <row r="466" spans="25:26" ht="26.25">
      <c r="Y466" s="6"/>
      <c r="Z466" s="6"/>
    </row>
    <row r="467" spans="25:26" ht="26.25">
      <c r="Y467" s="6"/>
      <c r="Z467" s="6"/>
    </row>
    <row r="468" spans="25:26" ht="26.25">
      <c r="Y468" s="6"/>
      <c r="Z468" s="6"/>
    </row>
    <row r="469" spans="25:26" ht="26.25">
      <c r="Y469" s="6"/>
      <c r="Z469" s="6"/>
    </row>
    <row r="470" spans="25:26" ht="26.25">
      <c r="Y470" s="6"/>
      <c r="Z470" s="6"/>
    </row>
    <row r="471" spans="25:26" ht="26.25">
      <c r="Y471" s="6"/>
      <c r="Z471" s="6"/>
    </row>
    <row r="472" spans="25:26" ht="26.25">
      <c r="Y472" s="6"/>
      <c r="Z472" s="6"/>
    </row>
    <row r="473" spans="25:26" ht="26.25">
      <c r="Y473" s="6"/>
      <c r="Z473" s="6"/>
    </row>
    <row r="474" spans="25:26" ht="26.25">
      <c r="Y474" s="6"/>
      <c r="Z474" s="6"/>
    </row>
    <row r="475" spans="25:26" ht="26.25">
      <c r="Y475" s="6"/>
      <c r="Z475" s="6"/>
    </row>
    <row r="476" spans="25:26" ht="26.25">
      <c r="Y476" s="6"/>
      <c r="Z476" s="6"/>
    </row>
    <row r="477" spans="25:26" ht="26.25">
      <c r="Y477" s="6"/>
      <c r="Z477" s="6"/>
    </row>
    <row r="478" spans="25:26" ht="26.25">
      <c r="Y478" s="6"/>
      <c r="Z478" s="6"/>
    </row>
    <row r="479" spans="25:26" ht="26.25">
      <c r="Y479" s="6"/>
      <c r="Z479" s="6"/>
    </row>
    <row r="480" spans="25:26" ht="26.25">
      <c r="Y480" s="6"/>
      <c r="Z480" s="6"/>
    </row>
    <row r="481" spans="25:26" ht="26.25">
      <c r="Y481" s="6"/>
      <c r="Z481" s="6"/>
    </row>
    <row r="482" spans="25:26" ht="26.25">
      <c r="Y482" s="6"/>
      <c r="Z482" s="6"/>
    </row>
    <row r="483" spans="25:26" ht="26.25">
      <c r="Y483" s="6"/>
      <c r="Z483" s="6"/>
    </row>
    <row r="484" spans="25:26" ht="26.25">
      <c r="Y484" s="6"/>
      <c r="Z484" s="6"/>
    </row>
    <row r="485" spans="25:26" ht="26.25">
      <c r="Y485" s="6"/>
      <c r="Z485" s="6"/>
    </row>
    <row r="486" spans="25:26" ht="26.25">
      <c r="Y486" s="6"/>
      <c r="Z486" s="6"/>
    </row>
    <row r="487" spans="25:26" ht="26.25">
      <c r="Y487" s="6"/>
      <c r="Z487" s="6"/>
    </row>
    <row r="488" spans="25:26" ht="26.25">
      <c r="Y488" s="6"/>
      <c r="Z488" s="6"/>
    </row>
    <row r="489" spans="25:26" ht="26.25">
      <c r="Y489" s="6"/>
      <c r="Z489" s="6"/>
    </row>
    <row r="490" spans="25:26" ht="26.25">
      <c r="Y490" s="6"/>
      <c r="Z490" s="6"/>
    </row>
    <row r="491" spans="25:26" ht="26.25">
      <c r="Y491" s="6"/>
      <c r="Z491" s="6"/>
    </row>
    <row r="492" spans="25:26" ht="26.25">
      <c r="Y492" s="6"/>
      <c r="Z492" s="6"/>
    </row>
    <row r="493" spans="25:26" ht="26.25">
      <c r="Y493" s="6"/>
      <c r="Z493" s="6"/>
    </row>
    <row r="494" spans="25:26" ht="26.25">
      <c r="Y494" s="6"/>
      <c r="Z494" s="6"/>
    </row>
    <row r="495" spans="25:26" ht="26.25">
      <c r="Y495" s="6"/>
      <c r="Z495" s="6"/>
    </row>
    <row r="496" spans="25:26" ht="26.25">
      <c r="Y496" s="6"/>
      <c r="Z496" s="6"/>
    </row>
    <row r="497" spans="25:26" ht="26.25">
      <c r="Y497" s="6"/>
      <c r="Z497" s="6"/>
    </row>
    <row r="498" spans="25:26" ht="26.25">
      <c r="Y498" s="6"/>
      <c r="Z498" s="6"/>
    </row>
    <row r="499" spans="25:26" ht="26.25">
      <c r="Y499" s="6"/>
      <c r="Z499" s="6"/>
    </row>
    <row r="500" spans="25:26" ht="26.25">
      <c r="Y500" s="6"/>
      <c r="Z500" s="6"/>
    </row>
    <row r="501" spans="25:26" ht="26.25">
      <c r="Y501" s="6"/>
      <c r="Z501" s="6"/>
    </row>
    <row r="502" spans="25:26" ht="26.25">
      <c r="Y502" s="6"/>
      <c r="Z502" s="6"/>
    </row>
    <row r="503" spans="25:26" ht="26.25">
      <c r="Y503" s="6"/>
      <c r="Z503" s="6"/>
    </row>
    <row r="504" spans="25:26" ht="26.25">
      <c r="Y504" s="6"/>
      <c r="Z504" s="6"/>
    </row>
  </sheetData>
  <sheetProtection/>
  <mergeCells count="17">
    <mergeCell ref="AM4:AS4"/>
    <mergeCell ref="AT4:AZ4"/>
    <mergeCell ref="B48:E48"/>
    <mergeCell ref="U48:V48"/>
    <mergeCell ref="AT48:AW48"/>
    <mergeCell ref="BA48:BE48"/>
    <mergeCell ref="AY48:AZ48"/>
    <mergeCell ref="A1:AP1"/>
    <mergeCell ref="A2:AP2"/>
    <mergeCell ref="A4:A5"/>
    <mergeCell ref="B4:B5"/>
    <mergeCell ref="C4:C5"/>
    <mergeCell ref="D4:I4"/>
    <mergeCell ref="K4:P4"/>
    <mergeCell ref="R4:W4"/>
    <mergeCell ref="Y4:AE4"/>
    <mergeCell ref="AF4:AL4"/>
  </mergeCells>
  <printOptions/>
  <pageMargins left="0" right="0" top="0" bottom="0" header="0.1968503937007874" footer="0.2755905511811024"/>
  <pageSetup horizontalDpi="600" verticalDpi="600" orientation="landscape" paperSize="9" scale="25" r:id="rId1"/>
  <colBreaks count="2" manualBreakCount="2">
    <brk id="24" max="47" man="1"/>
    <brk id="45" max="47" man="1"/>
  </colBreaks>
  <ignoredErrors>
    <ignoredError sqref="AA40 Y33 AM44 D27 R27 Y37 AF22" formula="1"/>
    <ignoredError sqref="K37:P37 L27:Q27 L19:Q19 K7:Q7 K8:K36 K44:K45 K40:K41 K38:K39 K42:K43 AT19 AT22 AT46 AY4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M504"/>
  <sheetViews>
    <sheetView view="pageBreakPreview" zoomScale="50" zoomScaleNormal="49" zoomScaleSheetLayoutView="50" zoomScalePageLayoutView="0" workbookViewId="0" topLeftCell="A1">
      <pane xSplit="2" ySplit="6" topLeftCell="Y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13" sqref="W13"/>
    </sheetView>
  </sheetViews>
  <sheetFormatPr defaultColWidth="9.00390625" defaultRowHeight="12.75"/>
  <cols>
    <col min="1" max="1" width="11.125" style="5" customWidth="1"/>
    <col min="2" max="2" width="74.00390625" style="5" customWidth="1"/>
    <col min="3" max="3" width="11.125" style="5" customWidth="1"/>
    <col min="4" max="4" width="21.125" style="6" customWidth="1"/>
    <col min="5" max="5" width="22.125" style="92" customWidth="1"/>
    <col min="6" max="6" width="21.625" style="92" customWidth="1"/>
    <col min="7" max="7" width="19.75390625" style="92" customWidth="1"/>
    <col min="8" max="8" width="19.625" style="92" customWidth="1"/>
    <col min="9" max="9" width="21.00390625" style="92" customWidth="1"/>
    <col min="10" max="10" width="19.625" style="92" customWidth="1"/>
    <col min="11" max="11" width="21.75390625" style="6" customWidth="1"/>
    <col min="12" max="12" width="20.375" style="6" customWidth="1"/>
    <col min="13" max="13" width="16.625" style="6" customWidth="1"/>
    <col min="14" max="14" width="19.75390625" style="6" customWidth="1"/>
    <col min="15" max="15" width="18.00390625" style="6" customWidth="1"/>
    <col min="16" max="17" width="20.25390625" style="6" customWidth="1"/>
    <col min="18" max="18" width="25.25390625" style="6" customWidth="1"/>
    <col min="19" max="19" width="23.625" style="6" customWidth="1"/>
    <col min="20" max="20" width="24.875" style="6" customWidth="1"/>
    <col min="21" max="21" width="25.625" style="6" customWidth="1"/>
    <col min="22" max="22" width="23.00390625" style="6" customWidth="1"/>
    <col min="23" max="24" width="26.625" style="6" customWidth="1"/>
    <col min="25" max="25" width="25.00390625" style="95" customWidth="1"/>
    <col min="26" max="26" width="27.25390625" style="92" customWidth="1"/>
    <col min="27" max="27" width="24.75390625" style="92" customWidth="1"/>
    <col min="28" max="28" width="20.125" style="92" customWidth="1"/>
    <col min="29" max="29" width="20.375" style="92" customWidth="1"/>
    <col min="30" max="30" width="20.875" style="92" customWidth="1"/>
    <col min="31" max="31" width="21.75390625" style="92" customWidth="1"/>
    <col min="32" max="32" width="17.375" style="6" customWidth="1"/>
    <col min="33" max="33" width="17.75390625" style="6" customWidth="1"/>
    <col min="34" max="34" width="17.875" style="6" customWidth="1"/>
    <col min="35" max="35" width="17.00390625" style="6" customWidth="1"/>
    <col min="36" max="36" width="16.125" style="6" customWidth="1"/>
    <col min="37" max="37" width="17.25390625" style="6" customWidth="1"/>
    <col min="38" max="38" width="19.625" style="6" customWidth="1"/>
    <col min="39" max="39" width="26.875" style="6" customWidth="1"/>
    <col min="40" max="40" width="24.375" style="6" customWidth="1"/>
    <col min="41" max="41" width="25.375" style="6" customWidth="1"/>
    <col min="42" max="42" width="25.625" style="6" customWidth="1"/>
    <col min="43" max="43" width="25.00390625" style="6" customWidth="1"/>
    <col min="44" max="45" width="26.25390625" style="6" customWidth="1"/>
    <col min="46" max="46" width="25.625" style="93" customWidth="1"/>
    <col min="47" max="48" width="23.875" style="6" customWidth="1"/>
    <col min="49" max="49" width="26.125" style="6" customWidth="1"/>
    <col min="50" max="50" width="23.875" style="6" customWidth="1"/>
    <col min="51" max="52" width="25.375" style="6" customWidth="1"/>
    <col min="53" max="65" width="9.125" style="4" customWidth="1"/>
    <col min="66" max="16384" width="9.125" style="5" customWidth="1"/>
  </cols>
  <sheetData>
    <row r="1" spans="1:52" ht="36" customHeight="1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1"/>
      <c r="AR1" s="1"/>
      <c r="AS1" s="1"/>
      <c r="AT1" s="2"/>
      <c r="AU1" s="3"/>
      <c r="AV1" s="3"/>
      <c r="AW1" s="3"/>
      <c r="AX1" s="3"/>
      <c r="AY1" s="3"/>
      <c r="AZ1" s="3"/>
    </row>
    <row r="2" spans="1:52" ht="30" customHeight="1">
      <c r="A2" s="215" t="s">
        <v>48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1"/>
      <c r="AR2" s="1"/>
      <c r="AS2" s="1"/>
      <c r="AT2" s="2"/>
      <c r="AU2" s="3"/>
      <c r="AV2" s="3"/>
      <c r="AW2" s="3"/>
      <c r="AX2" s="3"/>
      <c r="AY2" s="3"/>
      <c r="AZ2" s="3"/>
    </row>
    <row r="3" spans="1:46" ht="11.25" customHeight="1" thickBot="1">
      <c r="A3" s="1"/>
      <c r="B3" s="1"/>
      <c r="D3" s="3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2"/>
    </row>
    <row r="4" spans="1:65" s="8" customFormat="1" ht="30.75" customHeight="1">
      <c r="A4" s="216"/>
      <c r="B4" s="218" t="s">
        <v>7</v>
      </c>
      <c r="C4" s="218"/>
      <c r="D4" s="209" t="s">
        <v>30</v>
      </c>
      <c r="E4" s="210"/>
      <c r="F4" s="210"/>
      <c r="G4" s="210"/>
      <c r="H4" s="210"/>
      <c r="I4" s="220"/>
      <c r="J4" s="111"/>
      <c r="K4" s="209" t="s">
        <v>11</v>
      </c>
      <c r="L4" s="210"/>
      <c r="M4" s="210"/>
      <c r="N4" s="210"/>
      <c r="O4" s="210"/>
      <c r="P4" s="220"/>
      <c r="Q4" s="111"/>
      <c r="R4" s="209" t="s">
        <v>31</v>
      </c>
      <c r="S4" s="210"/>
      <c r="T4" s="210"/>
      <c r="U4" s="210"/>
      <c r="V4" s="210"/>
      <c r="W4" s="220"/>
      <c r="X4" s="111"/>
      <c r="Y4" s="209" t="s">
        <v>8</v>
      </c>
      <c r="Z4" s="210"/>
      <c r="AA4" s="210"/>
      <c r="AB4" s="210"/>
      <c r="AC4" s="210"/>
      <c r="AD4" s="210"/>
      <c r="AE4" s="220"/>
      <c r="AF4" s="221" t="s">
        <v>10</v>
      </c>
      <c r="AG4" s="222"/>
      <c r="AH4" s="222"/>
      <c r="AI4" s="222"/>
      <c r="AJ4" s="222"/>
      <c r="AK4" s="222"/>
      <c r="AL4" s="223"/>
      <c r="AM4" s="209" t="s">
        <v>32</v>
      </c>
      <c r="AN4" s="210"/>
      <c r="AO4" s="210"/>
      <c r="AP4" s="210"/>
      <c r="AQ4" s="210"/>
      <c r="AR4" s="210"/>
      <c r="AS4" s="210"/>
      <c r="AT4" s="211" t="s">
        <v>33</v>
      </c>
      <c r="AU4" s="210"/>
      <c r="AV4" s="210"/>
      <c r="AW4" s="210"/>
      <c r="AX4" s="210"/>
      <c r="AY4" s="210"/>
      <c r="AZ4" s="212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52" ht="50.25" customHeight="1">
      <c r="A5" s="217"/>
      <c r="B5" s="219"/>
      <c r="C5" s="219"/>
      <c r="D5" s="11" t="s">
        <v>6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12" t="s">
        <v>36</v>
      </c>
      <c r="K5" s="11" t="s">
        <v>6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36</v>
      </c>
      <c r="R5" s="11" t="s">
        <v>6</v>
      </c>
      <c r="S5" s="12" t="s">
        <v>12</v>
      </c>
      <c r="T5" s="12" t="s">
        <v>13</v>
      </c>
      <c r="U5" s="12" t="s">
        <v>14</v>
      </c>
      <c r="V5" s="12" t="s">
        <v>15</v>
      </c>
      <c r="W5" s="12" t="s">
        <v>16</v>
      </c>
      <c r="X5" s="12" t="s">
        <v>36</v>
      </c>
      <c r="Y5" s="11" t="s">
        <v>6</v>
      </c>
      <c r="Z5" s="12" t="s">
        <v>12</v>
      </c>
      <c r="AA5" s="12" t="s">
        <v>13</v>
      </c>
      <c r="AB5" s="12" t="s">
        <v>14</v>
      </c>
      <c r="AC5" s="12" t="s">
        <v>15</v>
      </c>
      <c r="AD5" s="12" t="s">
        <v>16</v>
      </c>
      <c r="AE5" s="12" t="s">
        <v>36</v>
      </c>
      <c r="AF5" s="11" t="s">
        <v>6</v>
      </c>
      <c r="AG5" s="12" t="s">
        <v>12</v>
      </c>
      <c r="AH5" s="12" t="s">
        <v>13</v>
      </c>
      <c r="AI5" s="12" t="s">
        <v>14</v>
      </c>
      <c r="AJ5" s="12" t="s">
        <v>15</v>
      </c>
      <c r="AK5" s="12" t="s">
        <v>16</v>
      </c>
      <c r="AL5" s="12" t="s">
        <v>36</v>
      </c>
      <c r="AM5" s="14" t="s">
        <v>6</v>
      </c>
      <c r="AN5" s="12" t="s">
        <v>12</v>
      </c>
      <c r="AO5" s="12" t="s">
        <v>13</v>
      </c>
      <c r="AP5" s="12" t="s">
        <v>14</v>
      </c>
      <c r="AQ5" s="12" t="s">
        <v>15</v>
      </c>
      <c r="AR5" s="12" t="s">
        <v>16</v>
      </c>
      <c r="AS5" s="112" t="s">
        <v>36</v>
      </c>
      <c r="AT5" s="114" t="s">
        <v>6</v>
      </c>
      <c r="AU5" s="16" t="s">
        <v>12</v>
      </c>
      <c r="AV5" s="16" t="s">
        <v>13</v>
      </c>
      <c r="AW5" s="16" t="s">
        <v>14</v>
      </c>
      <c r="AX5" s="16" t="s">
        <v>15</v>
      </c>
      <c r="AY5" s="16" t="s">
        <v>16</v>
      </c>
      <c r="AZ5" s="110" t="s">
        <v>36</v>
      </c>
    </row>
    <row r="6" spans="1:65" s="22" customFormat="1" ht="25.5" customHeight="1" thickBot="1">
      <c r="A6" s="17"/>
      <c r="B6" s="18">
        <v>2</v>
      </c>
      <c r="C6" s="18"/>
      <c r="D6" s="19">
        <v>3</v>
      </c>
      <c r="E6" s="18"/>
      <c r="F6" s="18"/>
      <c r="G6" s="18"/>
      <c r="H6" s="18"/>
      <c r="I6" s="18"/>
      <c r="J6" s="18"/>
      <c r="K6" s="19">
        <v>4</v>
      </c>
      <c r="L6" s="20"/>
      <c r="M6" s="20"/>
      <c r="N6" s="20"/>
      <c r="O6" s="20"/>
      <c r="P6" s="20"/>
      <c r="Q6" s="20"/>
      <c r="R6" s="19">
        <v>5</v>
      </c>
      <c r="S6" s="20"/>
      <c r="T6" s="20"/>
      <c r="U6" s="20"/>
      <c r="V6" s="20"/>
      <c r="W6" s="20"/>
      <c r="X6" s="20"/>
      <c r="Y6" s="19">
        <v>6</v>
      </c>
      <c r="Z6" s="18"/>
      <c r="AA6" s="18"/>
      <c r="AB6" s="18"/>
      <c r="AC6" s="18"/>
      <c r="AD6" s="18"/>
      <c r="AE6" s="18"/>
      <c r="AF6" s="19">
        <v>7</v>
      </c>
      <c r="AG6" s="20"/>
      <c r="AH6" s="20"/>
      <c r="AI6" s="20"/>
      <c r="AJ6" s="20"/>
      <c r="AK6" s="20"/>
      <c r="AL6" s="20"/>
      <c r="AM6" s="19">
        <v>8</v>
      </c>
      <c r="AN6" s="20"/>
      <c r="AO6" s="20"/>
      <c r="AP6" s="20"/>
      <c r="AQ6" s="20"/>
      <c r="AR6" s="20"/>
      <c r="AS6" s="113"/>
      <c r="AT6" s="115">
        <v>9</v>
      </c>
      <c r="AU6" s="116"/>
      <c r="AV6" s="116"/>
      <c r="AW6" s="116"/>
      <c r="AX6" s="116"/>
      <c r="AY6" s="116"/>
      <c r="AZ6" s="117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</row>
    <row r="7" spans="1:65" s="29" customFormat="1" ht="43.5" customHeight="1" thickBot="1">
      <c r="A7" s="23">
        <v>1</v>
      </c>
      <c r="B7" s="24" t="s">
        <v>2</v>
      </c>
      <c r="C7" s="24" t="s">
        <v>4</v>
      </c>
      <c r="D7" s="25">
        <f aca="true" t="shared" si="0" ref="D7:J7">SUM(D8:D18)</f>
        <v>15430.9464946377</v>
      </c>
      <c r="E7" s="25">
        <f t="shared" si="0"/>
        <v>1046.4147</v>
      </c>
      <c r="F7" s="25">
        <f t="shared" si="0"/>
        <v>6512.1186099999995</v>
      </c>
      <c r="G7" s="25">
        <f t="shared" si="0"/>
        <v>2362.2694846377</v>
      </c>
      <c r="H7" s="25">
        <f t="shared" si="0"/>
        <v>2609.5726</v>
      </c>
      <c r="I7" s="25">
        <f t="shared" si="0"/>
        <v>2643.7811</v>
      </c>
      <c r="J7" s="25">
        <f t="shared" si="0"/>
        <v>256.79</v>
      </c>
      <c r="K7" s="27">
        <f aca="true" t="shared" si="1" ref="K7:P7">R7/D7</f>
        <v>2300.56223980404</v>
      </c>
      <c r="L7" s="27">
        <f t="shared" si="1"/>
        <v>2754.7961434410277</v>
      </c>
      <c r="M7" s="27">
        <f t="shared" si="1"/>
        <v>1803.3110901829846</v>
      </c>
      <c r="N7" s="27">
        <f t="shared" si="1"/>
        <v>2718.443908183021</v>
      </c>
      <c r="O7" s="27">
        <f t="shared" si="1"/>
        <v>2682.316981715703</v>
      </c>
      <c r="P7" s="27">
        <f t="shared" si="1"/>
        <v>2679.7893176556863</v>
      </c>
      <c r="Q7" s="27">
        <f>Y7/J7</f>
        <v>53.598005919233614</v>
      </c>
      <c r="R7" s="27">
        <f aca="true" t="shared" si="2" ref="R7:AE7">SUM(R8:R18)</f>
        <v>35499852.830000006</v>
      </c>
      <c r="S7" s="27">
        <f t="shared" si="2"/>
        <v>2882659.18</v>
      </c>
      <c r="T7" s="27">
        <f t="shared" si="2"/>
        <v>11743375.71</v>
      </c>
      <c r="U7" s="27">
        <f t="shared" si="2"/>
        <v>6421697.09</v>
      </c>
      <c r="V7" s="27">
        <f t="shared" si="2"/>
        <v>6999700.9</v>
      </c>
      <c r="W7" s="27">
        <f t="shared" si="2"/>
        <v>7084776.35</v>
      </c>
      <c r="X7" s="27">
        <f t="shared" si="2"/>
        <v>367643.6</v>
      </c>
      <c r="Y7" s="59">
        <f t="shared" si="2"/>
        <v>13763.43194</v>
      </c>
      <c r="Z7" s="59">
        <f t="shared" si="2"/>
        <v>1097.0966999999998</v>
      </c>
      <c r="AA7" s="59">
        <f t="shared" si="2"/>
        <v>6558.665139999999</v>
      </c>
      <c r="AB7" s="59">
        <f t="shared" si="2"/>
        <v>2435.0290999999997</v>
      </c>
      <c r="AC7" s="59">
        <f t="shared" si="2"/>
        <v>2057.6596</v>
      </c>
      <c r="AD7" s="59">
        <f t="shared" si="2"/>
        <v>1358.193</v>
      </c>
      <c r="AE7" s="59">
        <f t="shared" si="2"/>
        <v>256.7884</v>
      </c>
      <c r="AF7" s="28">
        <f>AM7/Y7</f>
        <v>1242.1366302044573</v>
      </c>
      <c r="AG7" s="28">
        <f>AG12</f>
        <v>1244.41</v>
      </c>
      <c r="AH7" s="28">
        <f>AH12</f>
        <v>1244.41</v>
      </c>
      <c r="AI7" s="28">
        <f>AI12</f>
        <v>1244.41</v>
      </c>
      <c r="AJ7" s="28">
        <f>AJ12</f>
        <v>1244.41</v>
      </c>
      <c r="AK7" s="27">
        <f>AK12</f>
        <v>1244.41</v>
      </c>
      <c r="AL7" s="27">
        <f>AL17</f>
        <v>1122.56</v>
      </c>
      <c r="AM7" s="27">
        <f aca="true" t="shared" si="3" ref="AM7:AZ7">SUM(AM8:AM18)</f>
        <v>17096062.97</v>
      </c>
      <c r="AN7" s="27">
        <f t="shared" si="3"/>
        <v>1365238.14</v>
      </c>
      <c r="AO7" s="27">
        <f t="shared" si="3"/>
        <v>8161668.58</v>
      </c>
      <c r="AP7" s="27">
        <f t="shared" si="3"/>
        <v>3030174.64</v>
      </c>
      <c r="AQ7" s="27">
        <f t="shared" si="3"/>
        <v>2560572.21</v>
      </c>
      <c r="AR7" s="27">
        <f t="shared" si="3"/>
        <v>1690148.95</v>
      </c>
      <c r="AS7" s="27">
        <f t="shared" si="3"/>
        <v>288260.45</v>
      </c>
      <c r="AT7" s="118">
        <f t="shared" si="3"/>
        <v>16328745.9086901</v>
      </c>
      <c r="AU7" s="27">
        <f t="shared" si="3"/>
        <v>1580493.2148270002</v>
      </c>
      <c r="AV7" s="27">
        <f t="shared" si="3"/>
        <v>3639632.295958099</v>
      </c>
      <c r="AW7" s="27">
        <f t="shared" si="3"/>
        <v>3482072.5261180005</v>
      </c>
      <c r="AX7" s="27">
        <f t="shared" si="3"/>
        <v>3752330.537266</v>
      </c>
      <c r="AY7" s="27">
        <f t="shared" si="3"/>
        <v>3794836.1771810004</v>
      </c>
      <c r="AZ7" s="27">
        <f t="shared" si="3"/>
        <v>79381.15734000005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</row>
    <row r="8" spans="1:52" ht="53.25" customHeight="1">
      <c r="A8" s="38"/>
      <c r="B8" s="47" t="s">
        <v>20</v>
      </c>
      <c r="C8" s="48"/>
      <c r="D8" s="49">
        <f aca="true" t="shared" si="4" ref="D8:D16">SUM(E8:I8)</f>
        <v>45.485</v>
      </c>
      <c r="E8" s="45">
        <v>45.485</v>
      </c>
      <c r="F8" s="45"/>
      <c r="G8" s="45"/>
      <c r="H8" s="45"/>
      <c r="I8" s="45"/>
      <c r="J8" s="45"/>
      <c r="K8" s="14">
        <f aca="true" t="shared" si="5" ref="K8:K31">R8/D8</f>
        <v>4349.75134659778</v>
      </c>
      <c r="L8" s="13">
        <v>4349.75</v>
      </c>
      <c r="M8" s="37"/>
      <c r="N8" s="37"/>
      <c r="O8" s="37"/>
      <c r="P8" s="50"/>
      <c r="Q8" s="13"/>
      <c r="R8" s="15">
        <f aca="true" t="shared" si="6" ref="R8:R16">SUM(S8:W8)</f>
        <v>197848.44</v>
      </c>
      <c r="S8" s="50">
        <v>197848.44</v>
      </c>
      <c r="T8" s="50"/>
      <c r="U8" s="50"/>
      <c r="V8" s="50"/>
      <c r="W8" s="50"/>
      <c r="X8" s="13"/>
      <c r="Y8" s="134">
        <f aca="true" t="shared" si="7" ref="Y8:Y16">SUM(Z8:AD8)</f>
        <v>46.2214</v>
      </c>
      <c r="Z8" s="132">
        <f>ROUND(AN8/AG8,4)</f>
        <v>46.2214</v>
      </c>
      <c r="AA8" s="97"/>
      <c r="AB8" s="97"/>
      <c r="AC8" s="97"/>
      <c r="AD8" s="97"/>
      <c r="AE8" s="97"/>
      <c r="AF8" s="14">
        <f>AG8</f>
        <v>1244.41</v>
      </c>
      <c r="AG8" s="13">
        <v>1244.41</v>
      </c>
      <c r="AH8" s="13"/>
      <c r="AI8" s="13"/>
      <c r="AJ8" s="13"/>
      <c r="AK8" s="13"/>
      <c r="AL8" s="37"/>
      <c r="AM8" s="15">
        <f aca="true" t="shared" si="8" ref="AM8:AM16">SUM(AN8:AR8)</f>
        <v>57518.41</v>
      </c>
      <c r="AN8" s="50">
        <v>57518.41</v>
      </c>
      <c r="AO8" s="50"/>
      <c r="AP8" s="50"/>
      <c r="AQ8" s="50"/>
      <c r="AR8" s="50"/>
      <c r="AS8" s="13"/>
      <c r="AT8" s="15">
        <f aca="true" t="shared" si="9" ref="AT8:AT16">SUM(AU8:AY8)</f>
        <v>141246.3899</v>
      </c>
      <c r="AU8" s="37">
        <f>(L8-AG8)*E8</f>
        <v>141246.3899</v>
      </c>
      <c r="AV8" s="37"/>
      <c r="AW8" s="37"/>
      <c r="AX8" s="37"/>
      <c r="AY8" s="37"/>
      <c r="AZ8" s="13"/>
    </row>
    <row r="9" spans="1:52" ht="53.25" customHeight="1">
      <c r="A9" s="38"/>
      <c r="B9" s="47" t="s">
        <v>21</v>
      </c>
      <c r="C9" s="48"/>
      <c r="D9" s="51">
        <f t="shared" si="4"/>
        <v>72.595</v>
      </c>
      <c r="E9" s="45"/>
      <c r="F9" s="45"/>
      <c r="G9" s="52">
        <v>72.595</v>
      </c>
      <c r="H9" s="45"/>
      <c r="I9" s="45"/>
      <c r="J9" s="45"/>
      <c r="K9" s="14">
        <f t="shared" si="5"/>
        <v>4276.6150561333425</v>
      </c>
      <c r="L9" s="13"/>
      <c r="M9" s="37"/>
      <c r="N9" s="37">
        <v>4276.62</v>
      </c>
      <c r="O9" s="53"/>
      <c r="P9" s="50"/>
      <c r="Q9" s="13"/>
      <c r="R9" s="15">
        <f t="shared" si="6"/>
        <v>310460.87</v>
      </c>
      <c r="S9" s="50"/>
      <c r="T9" s="50"/>
      <c r="U9" s="50">
        <v>310460.87</v>
      </c>
      <c r="V9" s="50"/>
      <c r="W9" s="50"/>
      <c r="X9" s="13"/>
      <c r="Y9" s="134">
        <f t="shared" si="7"/>
        <v>72.5953</v>
      </c>
      <c r="Z9" s="97"/>
      <c r="AA9" s="97"/>
      <c r="AB9" s="132">
        <f>ROUND(AP9/AI9,4)</f>
        <v>72.5953</v>
      </c>
      <c r="AC9" s="97"/>
      <c r="AD9" s="97"/>
      <c r="AE9" s="97"/>
      <c r="AF9" s="14">
        <f>AI9</f>
        <v>1244.41</v>
      </c>
      <c r="AG9" s="13"/>
      <c r="AH9" s="13"/>
      <c r="AI9" s="13">
        <v>1244.41</v>
      </c>
      <c r="AJ9" s="13"/>
      <c r="AK9" s="13"/>
      <c r="AL9" s="37"/>
      <c r="AM9" s="15">
        <f t="shared" si="8"/>
        <v>90338.35</v>
      </c>
      <c r="AN9" s="50"/>
      <c r="AO9" s="50"/>
      <c r="AP9" s="50">
        <v>90338.35</v>
      </c>
      <c r="AQ9" s="50"/>
      <c r="AR9" s="50"/>
      <c r="AS9" s="13"/>
      <c r="AT9" s="15">
        <f t="shared" si="9"/>
        <v>220123.28495</v>
      </c>
      <c r="AU9" s="37"/>
      <c r="AV9" s="37"/>
      <c r="AW9" s="37">
        <f>(N9-AI9)*G9</f>
        <v>220123.28495</v>
      </c>
      <c r="AX9" s="37"/>
      <c r="AY9" s="37"/>
      <c r="AZ9" s="13"/>
    </row>
    <row r="10" spans="1:52" ht="54.75" customHeight="1">
      <c r="A10" s="40"/>
      <c r="B10" s="54" t="s">
        <v>43</v>
      </c>
      <c r="C10" s="40"/>
      <c r="D10" s="49">
        <f t="shared" si="4"/>
        <v>1486.92</v>
      </c>
      <c r="E10" s="45"/>
      <c r="F10" s="45">
        <v>1486.92</v>
      </c>
      <c r="G10" s="45"/>
      <c r="H10" s="45"/>
      <c r="I10" s="45"/>
      <c r="J10" s="45"/>
      <c r="K10" s="14">
        <f t="shared" si="5"/>
        <v>1721.6099991929625</v>
      </c>
      <c r="L10" s="13"/>
      <c r="M10" s="37">
        <v>1721.61</v>
      </c>
      <c r="N10" s="37"/>
      <c r="O10" s="37"/>
      <c r="P10" s="13"/>
      <c r="Q10" s="37"/>
      <c r="R10" s="15">
        <f t="shared" si="6"/>
        <v>2559896.34</v>
      </c>
      <c r="S10" s="13"/>
      <c r="T10" s="13">
        <v>2559896.34</v>
      </c>
      <c r="U10" s="13"/>
      <c r="V10" s="13"/>
      <c r="W10" s="13"/>
      <c r="X10" s="37"/>
      <c r="Y10" s="134">
        <f t="shared" si="7"/>
        <v>1486.9203</v>
      </c>
      <c r="Z10" s="97"/>
      <c r="AA10" s="132">
        <f>ROUND(AO10/AH10,4)</f>
        <v>1486.9203</v>
      </c>
      <c r="AB10" s="97"/>
      <c r="AC10" s="97"/>
      <c r="AD10" s="97"/>
      <c r="AE10" s="97"/>
      <c r="AF10" s="14">
        <f>AH10</f>
        <v>1244.41</v>
      </c>
      <c r="AG10" s="13"/>
      <c r="AH10" s="13">
        <v>1244.41</v>
      </c>
      <c r="AI10" s="13"/>
      <c r="AJ10" s="13"/>
      <c r="AK10" s="13"/>
      <c r="AL10" s="37"/>
      <c r="AM10" s="15">
        <f t="shared" si="8"/>
        <v>1850338.55</v>
      </c>
      <c r="AN10" s="13"/>
      <c r="AO10" s="13">
        <v>1850338.55</v>
      </c>
      <c r="AP10" s="13"/>
      <c r="AQ10" s="13"/>
      <c r="AR10" s="13"/>
      <c r="AS10" s="13"/>
      <c r="AT10" s="15">
        <f t="shared" si="9"/>
        <v>709558.2239999998</v>
      </c>
      <c r="AU10" s="37"/>
      <c r="AV10" s="37">
        <f>(M10-AH10)*F10</f>
        <v>709558.2239999998</v>
      </c>
      <c r="AW10" s="37"/>
      <c r="AX10" s="37"/>
      <c r="AY10" s="37"/>
      <c r="AZ10" s="13"/>
    </row>
    <row r="11" spans="1:52" ht="42" customHeight="1">
      <c r="A11" s="40"/>
      <c r="B11" s="54" t="s">
        <v>22</v>
      </c>
      <c r="C11" s="40"/>
      <c r="D11" s="41">
        <f t="shared" si="4"/>
        <v>13.487</v>
      </c>
      <c r="E11" s="42"/>
      <c r="F11" s="42"/>
      <c r="G11" s="42">
        <v>13.487</v>
      </c>
      <c r="H11" s="42"/>
      <c r="I11" s="42"/>
      <c r="J11" s="42"/>
      <c r="K11" s="14">
        <f t="shared" si="5"/>
        <v>1524.9373470749613</v>
      </c>
      <c r="L11" s="13"/>
      <c r="M11" s="13"/>
      <c r="N11" s="13">
        <v>1524.94</v>
      </c>
      <c r="O11" s="13"/>
      <c r="P11" s="13"/>
      <c r="Q11" s="13"/>
      <c r="R11" s="14">
        <f t="shared" si="6"/>
        <v>20566.83</v>
      </c>
      <c r="S11" s="13"/>
      <c r="T11" s="13"/>
      <c r="U11" s="13">
        <v>20566.83</v>
      </c>
      <c r="V11" s="13"/>
      <c r="W11" s="13"/>
      <c r="X11" s="13"/>
      <c r="Y11" s="136">
        <f t="shared" si="7"/>
        <v>14.3271</v>
      </c>
      <c r="Z11" s="65"/>
      <c r="AA11" s="65"/>
      <c r="AB11" s="132">
        <f>ROUND(AP11/AI11,4)</f>
        <v>14.3271</v>
      </c>
      <c r="AC11" s="65"/>
      <c r="AD11" s="65"/>
      <c r="AE11" s="65"/>
      <c r="AF11" s="14">
        <f>AI11</f>
        <v>1244.41</v>
      </c>
      <c r="AG11" s="13"/>
      <c r="AH11" s="13"/>
      <c r="AI11" s="13">
        <v>1244.41</v>
      </c>
      <c r="AJ11" s="13"/>
      <c r="AK11" s="13"/>
      <c r="AL11" s="13"/>
      <c r="AM11" s="14">
        <f t="shared" si="8"/>
        <v>17828.83</v>
      </c>
      <c r="AN11" s="13"/>
      <c r="AO11" s="13"/>
      <c r="AP11" s="13">
        <v>17828.83</v>
      </c>
      <c r="AQ11" s="13"/>
      <c r="AR11" s="13"/>
      <c r="AS11" s="13"/>
      <c r="AT11" s="14">
        <f t="shared" si="9"/>
        <v>3783.5081099999998</v>
      </c>
      <c r="AU11" s="37"/>
      <c r="AV11" s="37"/>
      <c r="AW11" s="37">
        <f>(N11-AI11)*G11</f>
        <v>3783.5081099999998</v>
      </c>
      <c r="AX11" s="37"/>
      <c r="AY11" s="37"/>
      <c r="AZ11" s="13"/>
    </row>
    <row r="12" spans="1:52" ht="33" customHeight="1">
      <c r="A12" s="30"/>
      <c r="B12" s="31" t="s">
        <v>17</v>
      </c>
      <c r="C12" s="32"/>
      <c r="D12" s="33">
        <f t="shared" si="4"/>
        <v>9426.2053</v>
      </c>
      <c r="E12" s="138">
        <v>1000.9297</v>
      </c>
      <c r="F12" s="138">
        <v>1034.1451</v>
      </c>
      <c r="G12" s="34">
        <v>2265.9038</v>
      </c>
      <c r="H12" s="34">
        <v>2609.5726</v>
      </c>
      <c r="I12" s="34">
        <v>2515.6541</v>
      </c>
      <c r="J12" s="34"/>
      <c r="K12" s="35">
        <f t="shared" si="5"/>
        <v>2682.3169870912957</v>
      </c>
      <c r="L12" s="36">
        <v>2682.32</v>
      </c>
      <c r="M12" s="36">
        <f>L12</f>
        <v>2682.32</v>
      </c>
      <c r="N12" s="36">
        <f>L12</f>
        <v>2682.32</v>
      </c>
      <c r="O12" s="36">
        <f>L12</f>
        <v>2682.32</v>
      </c>
      <c r="P12" s="36">
        <f>L12</f>
        <v>2682.32</v>
      </c>
      <c r="Q12" s="36"/>
      <c r="R12" s="35">
        <f t="shared" si="6"/>
        <v>25284070.6</v>
      </c>
      <c r="S12" s="36">
        <v>2684810.74</v>
      </c>
      <c r="T12" s="36">
        <v>2773904.98</v>
      </c>
      <c r="U12" s="36">
        <v>6077872.27</v>
      </c>
      <c r="V12" s="36">
        <v>6999700.9</v>
      </c>
      <c r="W12" s="36">
        <v>6747781.71</v>
      </c>
      <c r="X12" s="36"/>
      <c r="Y12" s="137">
        <f t="shared" si="7"/>
        <v>7748.738399999999</v>
      </c>
      <c r="Z12" s="132">
        <f>ROUND(AN12/AG12,4)</f>
        <v>1050.8753</v>
      </c>
      <c r="AA12" s="132">
        <f>ROUND(AO12/AH12,4)</f>
        <v>1072.3147</v>
      </c>
      <c r="AB12" s="132">
        <f>ROUND(AP12/AI12,4)</f>
        <v>2337.823</v>
      </c>
      <c r="AC12" s="132">
        <f>ROUND(AQ12/AJ12,4)</f>
        <v>2057.6596</v>
      </c>
      <c r="AD12" s="132">
        <f>ROUND(AR12/AK12,4)</f>
        <v>1230.0658</v>
      </c>
      <c r="AE12" s="34"/>
      <c r="AF12" s="15">
        <f>AG12</f>
        <v>1244.41</v>
      </c>
      <c r="AG12" s="37">
        <v>1244.41</v>
      </c>
      <c r="AH12" s="37">
        <v>1244.41</v>
      </c>
      <c r="AI12" s="37">
        <v>1244.41</v>
      </c>
      <c r="AJ12" s="37">
        <v>1244.41</v>
      </c>
      <c r="AK12" s="37">
        <v>1244.41</v>
      </c>
      <c r="AL12" s="36"/>
      <c r="AM12" s="35">
        <f t="shared" si="8"/>
        <v>9642607.68</v>
      </c>
      <c r="AN12" s="36">
        <f>593137.6+714582.13</f>
        <v>1307719.73</v>
      </c>
      <c r="AO12" s="36">
        <f>628833.69+372979.99+332585.51</f>
        <v>1334399.19</v>
      </c>
      <c r="AP12" s="36">
        <f>1109954.43+1799255.91</f>
        <v>2909210.34</v>
      </c>
      <c r="AQ12" s="36">
        <f>779041.4+270014.23+1511516.58</f>
        <v>2560572.21</v>
      </c>
      <c r="AR12" s="36">
        <f>1530706.21</f>
        <v>1530706.21</v>
      </c>
      <c r="AS12" s="36"/>
      <c r="AT12" s="35">
        <f t="shared" si="9"/>
        <v>13554034.862923002</v>
      </c>
      <c r="AU12" s="37">
        <f>(L12-AG12)*E12</f>
        <v>1439246.824927</v>
      </c>
      <c r="AV12" s="37">
        <f>(M12-AH12)*F12</f>
        <v>1487007.5807410001</v>
      </c>
      <c r="AW12" s="37">
        <f>(N12-AI12)*G12</f>
        <v>3258165.7330580004</v>
      </c>
      <c r="AX12" s="37">
        <f>(O12-AJ12)*H12</f>
        <v>3752330.537266</v>
      </c>
      <c r="AY12" s="37">
        <f>(P12-AK12)*I12</f>
        <v>3617284.1869310006</v>
      </c>
      <c r="AZ12" s="37"/>
    </row>
    <row r="13" spans="1:52" ht="63.75" customHeight="1">
      <c r="A13" s="38"/>
      <c r="B13" s="39" t="s">
        <v>42</v>
      </c>
      <c r="C13" s="40"/>
      <c r="D13" s="41">
        <f t="shared" si="4"/>
        <v>128.127</v>
      </c>
      <c r="E13" s="42"/>
      <c r="F13" s="42"/>
      <c r="G13" s="42"/>
      <c r="H13" s="42"/>
      <c r="I13" s="42">
        <v>128.127</v>
      </c>
      <c r="J13" s="42"/>
      <c r="K13" s="14">
        <f t="shared" si="5"/>
        <v>2630.1610121207864</v>
      </c>
      <c r="L13" s="13"/>
      <c r="M13" s="13"/>
      <c r="N13" s="13"/>
      <c r="O13" s="13"/>
      <c r="P13" s="13">
        <v>2630.16</v>
      </c>
      <c r="Q13" s="13"/>
      <c r="R13" s="14">
        <f t="shared" si="6"/>
        <v>336994.64</v>
      </c>
      <c r="S13" s="13"/>
      <c r="T13" s="13"/>
      <c r="U13" s="13"/>
      <c r="V13" s="13"/>
      <c r="W13" s="13">
        <v>336994.64</v>
      </c>
      <c r="X13" s="13"/>
      <c r="Y13" s="136">
        <f t="shared" si="7"/>
        <v>128.1272</v>
      </c>
      <c r="Z13" s="65"/>
      <c r="AA13" s="65"/>
      <c r="AB13" s="65"/>
      <c r="AC13" s="65"/>
      <c r="AD13" s="132">
        <f>ROUND(AR13/AK13,4)</f>
        <v>128.1272</v>
      </c>
      <c r="AE13" s="65"/>
      <c r="AF13" s="14">
        <f>AK13</f>
        <v>1244.41</v>
      </c>
      <c r="AG13" s="13"/>
      <c r="AH13" s="13"/>
      <c r="AI13" s="13"/>
      <c r="AJ13" s="13"/>
      <c r="AK13" s="13">
        <v>1244.41</v>
      </c>
      <c r="AL13" s="13"/>
      <c r="AM13" s="14">
        <f t="shared" si="8"/>
        <v>159442.74</v>
      </c>
      <c r="AN13" s="13"/>
      <c r="AO13" s="13"/>
      <c r="AP13" s="13"/>
      <c r="AQ13" s="13"/>
      <c r="AR13" s="13">
        <v>159442.74</v>
      </c>
      <c r="AS13" s="13"/>
      <c r="AT13" s="14">
        <f t="shared" si="9"/>
        <v>177551.99024999997</v>
      </c>
      <c r="AU13" s="37"/>
      <c r="AV13" s="37"/>
      <c r="AW13" s="37"/>
      <c r="AX13" s="37"/>
      <c r="AY13" s="37">
        <f>(P13-AK13)*I13</f>
        <v>177551.99024999997</v>
      </c>
      <c r="AZ13" s="13"/>
    </row>
    <row r="14" spans="1:52" ht="37.5" customHeight="1">
      <c r="A14" s="38"/>
      <c r="B14" s="54" t="s">
        <v>23</v>
      </c>
      <c r="C14" s="40"/>
      <c r="D14" s="51">
        <f t="shared" si="4"/>
        <v>217.58</v>
      </c>
      <c r="E14" s="45"/>
      <c r="F14" s="52">
        <v>217.58</v>
      </c>
      <c r="G14" s="45"/>
      <c r="H14" s="45"/>
      <c r="I14" s="45"/>
      <c r="J14" s="45"/>
      <c r="K14" s="14">
        <f t="shared" si="5"/>
        <v>1664.3545822226308</v>
      </c>
      <c r="L14" s="13"/>
      <c r="M14" s="37">
        <v>1664.35</v>
      </c>
      <c r="N14" s="37"/>
      <c r="O14" s="37"/>
      <c r="P14" s="13"/>
      <c r="Q14" s="37"/>
      <c r="R14" s="15">
        <f t="shared" si="6"/>
        <v>362130.27</v>
      </c>
      <c r="S14" s="13"/>
      <c r="T14" s="13">
        <v>362130.27</v>
      </c>
      <c r="U14" s="13"/>
      <c r="V14" s="13"/>
      <c r="W14" s="13"/>
      <c r="X14" s="13"/>
      <c r="Y14" s="134">
        <f t="shared" si="7"/>
        <v>217.58</v>
      </c>
      <c r="Z14" s="97"/>
      <c r="AA14" s="132">
        <f>ROUND(AO14/AH14,4)</f>
        <v>217.58</v>
      </c>
      <c r="AB14" s="97"/>
      <c r="AC14" s="97"/>
      <c r="AD14" s="97"/>
      <c r="AE14" s="97"/>
      <c r="AF14" s="14">
        <f>AH14</f>
        <v>1244.41</v>
      </c>
      <c r="AG14" s="13"/>
      <c r="AH14" s="13">
        <v>1244.41</v>
      </c>
      <c r="AI14" s="13"/>
      <c r="AJ14" s="13"/>
      <c r="AK14" s="13"/>
      <c r="AL14" s="37"/>
      <c r="AM14" s="15">
        <f t="shared" si="8"/>
        <v>270758.71</v>
      </c>
      <c r="AN14" s="13"/>
      <c r="AO14" s="13">
        <v>270758.71</v>
      </c>
      <c r="AP14" s="13"/>
      <c r="AQ14" s="13"/>
      <c r="AR14" s="13"/>
      <c r="AS14" s="13"/>
      <c r="AT14" s="15">
        <f t="shared" si="9"/>
        <v>91370.54519999996</v>
      </c>
      <c r="AU14" s="37"/>
      <c r="AV14" s="37">
        <f>(M14-AH14)*F14</f>
        <v>91370.54519999996</v>
      </c>
      <c r="AW14" s="37"/>
      <c r="AX14" s="37"/>
      <c r="AY14" s="37"/>
      <c r="AZ14" s="13"/>
    </row>
    <row r="15" spans="1:52" ht="35.25" customHeight="1">
      <c r="A15" s="38"/>
      <c r="B15" s="39" t="s">
        <v>18</v>
      </c>
      <c r="C15" s="40"/>
      <c r="D15" s="75">
        <f t="shared" si="4"/>
        <v>10.283684637699793</v>
      </c>
      <c r="E15" s="42"/>
      <c r="F15" s="42"/>
      <c r="G15" s="76">
        <f>U15/N15</f>
        <v>10.283684637699793</v>
      </c>
      <c r="H15" s="42"/>
      <c r="I15" s="42"/>
      <c r="J15" s="42"/>
      <c r="K15" s="14">
        <f t="shared" si="5"/>
        <v>1244.41</v>
      </c>
      <c r="L15" s="13"/>
      <c r="M15" s="13"/>
      <c r="N15" s="13">
        <v>1244.41</v>
      </c>
      <c r="O15" s="13"/>
      <c r="P15" s="13"/>
      <c r="Q15" s="13"/>
      <c r="R15" s="14">
        <f t="shared" si="6"/>
        <v>12797.12</v>
      </c>
      <c r="S15" s="13"/>
      <c r="T15" s="13"/>
      <c r="U15" s="13">
        <v>12797.12</v>
      </c>
      <c r="V15" s="13"/>
      <c r="W15" s="13"/>
      <c r="X15" s="13"/>
      <c r="Y15" s="136">
        <f t="shared" si="7"/>
        <v>10.2837</v>
      </c>
      <c r="Z15" s="65"/>
      <c r="AA15" s="65"/>
      <c r="AB15" s="132">
        <f>ROUND(AP15/AI15,4)</f>
        <v>10.2837</v>
      </c>
      <c r="AC15" s="65"/>
      <c r="AD15" s="65"/>
      <c r="AE15" s="65"/>
      <c r="AF15" s="14">
        <f>AI15</f>
        <v>1244.41</v>
      </c>
      <c r="AG15" s="13"/>
      <c r="AH15" s="13"/>
      <c r="AI15" s="13">
        <v>1244.41</v>
      </c>
      <c r="AJ15" s="13"/>
      <c r="AK15" s="13"/>
      <c r="AL15" s="13"/>
      <c r="AM15" s="14">
        <f t="shared" si="8"/>
        <v>12797.12</v>
      </c>
      <c r="AN15" s="13"/>
      <c r="AO15" s="13"/>
      <c r="AP15" s="13">
        <v>12797.12</v>
      </c>
      <c r="AQ15" s="13"/>
      <c r="AR15" s="13"/>
      <c r="AS15" s="13"/>
      <c r="AT15" s="14">
        <f t="shared" si="9"/>
        <v>0</v>
      </c>
      <c r="AU15" s="37"/>
      <c r="AV15" s="37"/>
      <c r="AW15" s="37">
        <f>(N15-AI15)*G15</f>
        <v>0</v>
      </c>
      <c r="AX15" s="37"/>
      <c r="AY15" s="37"/>
      <c r="AZ15" s="13"/>
    </row>
    <row r="16" spans="1:52" ht="56.25" customHeight="1">
      <c r="A16" s="9"/>
      <c r="B16" s="43" t="s">
        <v>41</v>
      </c>
      <c r="C16" s="32"/>
      <c r="D16" s="44">
        <f t="shared" si="4"/>
        <v>3773.47351</v>
      </c>
      <c r="E16" s="45"/>
      <c r="F16" s="46">
        <v>3773.47351</v>
      </c>
      <c r="G16" s="45"/>
      <c r="H16" s="45"/>
      <c r="I16" s="45"/>
      <c r="J16" s="45"/>
      <c r="K16" s="14">
        <f t="shared" si="5"/>
        <v>1602.6200009020338</v>
      </c>
      <c r="L16" s="36"/>
      <c r="M16" s="37">
        <v>1602.62</v>
      </c>
      <c r="N16" s="37"/>
      <c r="O16" s="37"/>
      <c r="P16" s="36"/>
      <c r="Q16" s="13"/>
      <c r="R16" s="15">
        <f t="shared" si="6"/>
        <v>6047444.12</v>
      </c>
      <c r="S16" s="36"/>
      <c r="T16" s="36">
        <v>6047444.12</v>
      </c>
      <c r="U16" s="36"/>
      <c r="V16" s="36"/>
      <c r="W16" s="36"/>
      <c r="X16" s="36"/>
      <c r="Y16" s="135">
        <f t="shared" si="7"/>
        <v>3781.85014</v>
      </c>
      <c r="Z16" s="97"/>
      <c r="AA16" s="133">
        <f>ROUND(AO16/AH16,5)</f>
        <v>3781.85014</v>
      </c>
      <c r="AB16" s="97"/>
      <c r="AC16" s="97"/>
      <c r="AD16" s="97"/>
      <c r="AE16" s="97"/>
      <c r="AF16" s="14">
        <f>AH16</f>
        <v>1244.41</v>
      </c>
      <c r="AG16" s="13"/>
      <c r="AH16" s="13">
        <v>1244.41</v>
      </c>
      <c r="AI16" s="13"/>
      <c r="AJ16" s="13"/>
      <c r="AK16" s="13"/>
      <c r="AL16" s="37"/>
      <c r="AM16" s="15">
        <f t="shared" si="8"/>
        <v>4706172.13</v>
      </c>
      <c r="AN16" s="36"/>
      <c r="AO16" s="36">
        <f>4294234.17+411937.96</f>
        <v>4706172.13</v>
      </c>
      <c r="AP16" s="36"/>
      <c r="AQ16" s="36"/>
      <c r="AR16" s="36"/>
      <c r="AS16" s="13"/>
      <c r="AT16" s="15">
        <f t="shared" si="9"/>
        <v>1351695.9460170993</v>
      </c>
      <c r="AU16" s="37"/>
      <c r="AV16" s="37">
        <f>(M16-AH16)*F16</f>
        <v>1351695.9460170993</v>
      </c>
      <c r="AW16" s="37"/>
      <c r="AX16" s="37"/>
      <c r="AY16" s="37"/>
      <c r="AZ16" s="13"/>
    </row>
    <row r="17" spans="1:52" ht="58.5" customHeight="1">
      <c r="A17" s="38">
        <v>36</v>
      </c>
      <c r="B17" s="39" t="s">
        <v>37</v>
      </c>
      <c r="C17" s="106"/>
      <c r="D17" s="75">
        <f>SUM(E17:J17)</f>
        <v>40.949</v>
      </c>
      <c r="E17" s="42"/>
      <c r="F17" s="42"/>
      <c r="G17" s="76"/>
      <c r="H17" s="42"/>
      <c r="I17" s="107"/>
      <c r="J17" s="76">
        <v>40.949</v>
      </c>
      <c r="K17" s="14">
        <f t="shared" si="5"/>
        <v>1131.5021123836968</v>
      </c>
      <c r="L17" s="108"/>
      <c r="M17" s="13"/>
      <c r="N17" s="13"/>
      <c r="O17" s="13"/>
      <c r="P17" s="13"/>
      <c r="Q17" s="13">
        <v>1131.5</v>
      </c>
      <c r="R17" s="14">
        <f>SUM(S17:X17)</f>
        <v>46333.88</v>
      </c>
      <c r="S17" s="13"/>
      <c r="T17" s="13"/>
      <c r="U17" s="13"/>
      <c r="V17" s="13"/>
      <c r="W17" s="13"/>
      <c r="X17" s="13">
        <v>46333.88</v>
      </c>
      <c r="Y17" s="136">
        <f>AE17</f>
        <v>40.9494</v>
      </c>
      <c r="Z17" s="65"/>
      <c r="AA17" s="65"/>
      <c r="AB17" s="65"/>
      <c r="AC17" s="65"/>
      <c r="AD17" s="65"/>
      <c r="AE17" s="132">
        <f>ROUND(AS17/AL17,4)</f>
        <v>40.9494</v>
      </c>
      <c r="AF17" s="14">
        <f>AL17</f>
        <v>1122.56</v>
      </c>
      <c r="AG17" s="13"/>
      <c r="AH17" s="13"/>
      <c r="AI17" s="13"/>
      <c r="AJ17" s="13"/>
      <c r="AK17" s="109"/>
      <c r="AL17" s="109">
        <v>1122.56</v>
      </c>
      <c r="AM17" s="14">
        <f>AS17</f>
        <v>45968.21</v>
      </c>
      <c r="AN17" s="13"/>
      <c r="AO17" s="13"/>
      <c r="AP17" s="13"/>
      <c r="AQ17" s="13"/>
      <c r="AR17" s="13"/>
      <c r="AS17" s="13">
        <v>45968.21</v>
      </c>
      <c r="AT17" s="14">
        <f>SUM(AU17:AZ17)</f>
        <v>366.08406000000224</v>
      </c>
      <c r="AU17" s="13"/>
      <c r="AV17" s="13"/>
      <c r="AW17" s="13"/>
      <c r="AX17" s="13"/>
      <c r="AY17" s="13"/>
      <c r="AZ17" s="37">
        <f>(Q17-AL17)*J17</f>
        <v>366.08406000000224</v>
      </c>
    </row>
    <row r="18" spans="1:52" ht="88.5" customHeight="1" thickBot="1">
      <c r="A18" s="30"/>
      <c r="B18" s="31" t="s">
        <v>38</v>
      </c>
      <c r="D18" s="75">
        <f>SUM(E18:J18)</f>
        <v>215.841</v>
      </c>
      <c r="E18" s="56"/>
      <c r="F18" s="56"/>
      <c r="G18" s="102"/>
      <c r="H18" s="56"/>
      <c r="I18" s="103"/>
      <c r="J18" s="76">
        <v>215.841</v>
      </c>
      <c r="K18" s="14">
        <f t="shared" si="5"/>
        <v>1488.640805037041</v>
      </c>
      <c r="L18" s="104"/>
      <c r="M18" s="36"/>
      <c r="N18" s="36"/>
      <c r="O18" s="36"/>
      <c r="P18" s="36"/>
      <c r="Q18" s="36">
        <v>1488.64</v>
      </c>
      <c r="R18" s="14">
        <f>SUM(S18:X18)</f>
        <v>321309.72</v>
      </c>
      <c r="S18" s="36"/>
      <c r="T18" s="36"/>
      <c r="U18" s="36"/>
      <c r="V18" s="36"/>
      <c r="W18" s="36"/>
      <c r="X18" s="36">
        <v>321309.72</v>
      </c>
      <c r="Y18" s="137">
        <f>AE18</f>
        <v>215.839</v>
      </c>
      <c r="Z18" s="34"/>
      <c r="AA18" s="34"/>
      <c r="AB18" s="34"/>
      <c r="AC18" s="34"/>
      <c r="AD18" s="34"/>
      <c r="AE18" s="132">
        <f>ROUND(AS18/AL18,4)</f>
        <v>215.839</v>
      </c>
      <c r="AF18" s="35">
        <f>AL18</f>
        <v>1122.56</v>
      </c>
      <c r="AG18" s="36"/>
      <c r="AH18" s="36"/>
      <c r="AI18" s="36"/>
      <c r="AJ18" s="36"/>
      <c r="AK18" s="105"/>
      <c r="AL18" s="105">
        <v>1122.56</v>
      </c>
      <c r="AM18" s="35">
        <f>AS18</f>
        <v>242292.24</v>
      </c>
      <c r="AN18" s="36"/>
      <c r="AO18" s="36"/>
      <c r="AP18" s="36"/>
      <c r="AQ18" s="36"/>
      <c r="AR18" s="36"/>
      <c r="AS18" s="36">
        <v>242292.24</v>
      </c>
      <c r="AT18" s="57">
        <f>SUM(AU18:AZ18)</f>
        <v>79015.07328000004</v>
      </c>
      <c r="AU18" s="50"/>
      <c r="AV18" s="50"/>
      <c r="AW18" s="50"/>
      <c r="AX18" s="50"/>
      <c r="AY18" s="50"/>
      <c r="AZ18" s="37">
        <f>(Q18-AL18)*J18</f>
        <v>79015.07328000004</v>
      </c>
    </row>
    <row r="19" spans="1:65" s="29" customFormat="1" ht="43.5" customHeight="1" thickBot="1">
      <c r="A19" s="23">
        <v>2</v>
      </c>
      <c r="B19" s="24" t="s">
        <v>0</v>
      </c>
      <c r="C19" s="58" t="s">
        <v>5</v>
      </c>
      <c r="D19" s="26">
        <f aca="true" t="shared" si="10" ref="D19:J19">SUM(D20:D26)</f>
        <v>24284.4041</v>
      </c>
      <c r="E19" s="59">
        <f t="shared" si="10"/>
        <v>613.6302</v>
      </c>
      <c r="F19" s="59">
        <f t="shared" si="10"/>
        <v>10283.6997</v>
      </c>
      <c r="G19" s="59">
        <f t="shared" si="10"/>
        <v>7792.2932</v>
      </c>
      <c r="H19" s="59">
        <f t="shared" si="10"/>
        <v>1287.5652</v>
      </c>
      <c r="I19" s="59">
        <f t="shared" si="10"/>
        <v>4177.2978</v>
      </c>
      <c r="J19" s="59">
        <f t="shared" si="10"/>
        <v>129.918</v>
      </c>
      <c r="K19" s="27">
        <f t="shared" si="5"/>
        <v>148.62528786530942</v>
      </c>
      <c r="L19" s="61">
        <f aca="true" t="shared" si="11" ref="L19:Q19">S19/E19</f>
        <v>167.49354904631488</v>
      </c>
      <c r="M19" s="27">
        <f t="shared" si="11"/>
        <v>120.55786790429131</v>
      </c>
      <c r="N19" s="27">
        <f t="shared" si="11"/>
        <v>170.95494558649307</v>
      </c>
      <c r="O19" s="27">
        <f t="shared" si="11"/>
        <v>167.49351411485804</v>
      </c>
      <c r="P19" s="27">
        <f t="shared" si="11"/>
        <v>169.3298739678076</v>
      </c>
      <c r="Q19" s="27">
        <f t="shared" si="11"/>
        <v>89.17432534367832</v>
      </c>
      <c r="R19" s="27">
        <f aca="true" t="shared" si="12" ref="R19:AE19">SUM(R20:R26)</f>
        <v>3609276.5500000003</v>
      </c>
      <c r="S19" s="27">
        <f t="shared" si="12"/>
        <v>102779.1</v>
      </c>
      <c r="T19" s="27">
        <f t="shared" si="12"/>
        <v>1239780.9100000001</v>
      </c>
      <c r="U19" s="27">
        <f t="shared" si="12"/>
        <v>1332131.06</v>
      </c>
      <c r="V19" s="27">
        <f t="shared" si="12"/>
        <v>215658.82</v>
      </c>
      <c r="W19" s="27">
        <f t="shared" si="12"/>
        <v>707341.31</v>
      </c>
      <c r="X19" s="27">
        <f t="shared" si="12"/>
        <v>11585.35</v>
      </c>
      <c r="Y19" s="59">
        <f t="shared" si="12"/>
        <v>24251.811009911602</v>
      </c>
      <c r="Z19" s="59">
        <f t="shared" si="12"/>
        <v>613.6301901955532</v>
      </c>
      <c r="AA19" s="59">
        <f t="shared" si="12"/>
        <v>10283.44642378784</v>
      </c>
      <c r="AB19" s="59">
        <f t="shared" si="12"/>
        <v>7792.293195821055</v>
      </c>
      <c r="AC19" s="59">
        <f t="shared" si="12"/>
        <v>1287.565229038307</v>
      </c>
      <c r="AD19" s="59">
        <f t="shared" si="12"/>
        <v>4144.957808732923</v>
      </c>
      <c r="AE19" s="59">
        <f t="shared" si="12"/>
        <v>129.91816233592286</v>
      </c>
      <c r="AF19" s="27">
        <f>AG19</f>
        <v>74.66</v>
      </c>
      <c r="AG19" s="27">
        <f>AG22</f>
        <v>74.66</v>
      </c>
      <c r="AH19" s="27">
        <f>AH22</f>
        <v>74.66</v>
      </c>
      <c r="AI19" s="27">
        <f>AI22</f>
        <v>74.66</v>
      </c>
      <c r="AJ19" s="27">
        <f>AJ22</f>
        <v>74.66</v>
      </c>
      <c r="AK19" s="28">
        <f>AK22</f>
        <v>74.66</v>
      </c>
      <c r="AL19" s="27">
        <f>AL26</f>
        <v>74.66</v>
      </c>
      <c r="AM19" s="27">
        <f aca="true" t="shared" si="13" ref="AM19:AZ19">SUM(AM20:AM26)</f>
        <v>1810640.21</v>
      </c>
      <c r="AN19" s="27">
        <f t="shared" si="13"/>
        <v>45813.63</v>
      </c>
      <c r="AO19" s="27">
        <f t="shared" si="13"/>
        <v>767762.1100000001</v>
      </c>
      <c r="AP19" s="27">
        <f t="shared" si="13"/>
        <v>581772.61</v>
      </c>
      <c r="AQ19" s="27">
        <f t="shared" si="13"/>
        <v>96129.62</v>
      </c>
      <c r="AR19" s="27">
        <f t="shared" si="13"/>
        <v>309462.55000000005</v>
      </c>
      <c r="AS19" s="27">
        <f t="shared" si="13"/>
        <v>9699.69</v>
      </c>
      <c r="AT19" s="118">
        <f t="shared" si="13"/>
        <v>1796167.5584710003</v>
      </c>
      <c r="AU19" s="27">
        <f t="shared" si="13"/>
        <v>56963.291466</v>
      </c>
      <c r="AV19" s="27">
        <f t="shared" si="13"/>
        <v>472001.573501</v>
      </c>
      <c r="AW19" s="27">
        <f t="shared" si="13"/>
        <v>750330.4684760001</v>
      </c>
      <c r="AX19" s="27">
        <f t="shared" si="13"/>
        <v>119524.67751600001</v>
      </c>
      <c r="AY19" s="27">
        <f t="shared" si="13"/>
        <v>395462.43733200006</v>
      </c>
      <c r="AZ19" s="27">
        <f t="shared" si="13"/>
        <v>1885.1101800000008</v>
      </c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</row>
    <row r="20" spans="1:52" s="4" customFormat="1" ht="41.25" customHeight="1">
      <c r="A20" s="70"/>
      <c r="B20" s="47" t="s">
        <v>24</v>
      </c>
      <c r="C20" s="47"/>
      <c r="D20" s="64">
        <f aca="true" t="shared" si="14" ref="D20:D25">SUM(E20:I20)</f>
        <v>288.902</v>
      </c>
      <c r="E20" s="69"/>
      <c r="F20" s="69"/>
      <c r="G20" s="69">
        <v>288.902</v>
      </c>
      <c r="H20" s="69"/>
      <c r="I20" s="69"/>
      <c r="J20" s="34"/>
      <c r="K20" s="14">
        <f t="shared" si="5"/>
        <v>260.8525728447709</v>
      </c>
      <c r="L20" s="50"/>
      <c r="M20" s="73"/>
      <c r="N20" s="131">
        <v>260.85</v>
      </c>
      <c r="O20" s="50"/>
      <c r="P20" s="50"/>
      <c r="Q20" s="50"/>
      <c r="R20" s="63">
        <f aca="true" t="shared" si="15" ref="R20:R25">SUM(S20:W20)</f>
        <v>75360.83</v>
      </c>
      <c r="S20" s="50"/>
      <c r="T20" s="50"/>
      <c r="U20" s="50">
        <v>75360.83</v>
      </c>
      <c r="V20" s="73"/>
      <c r="W20" s="73"/>
      <c r="X20" s="73"/>
      <c r="Y20" s="100">
        <f aca="true" t="shared" si="16" ref="Y20:Y25">SUM(Z20:AD20)</f>
        <v>288.9019555317439</v>
      </c>
      <c r="Z20" s="98"/>
      <c r="AA20" s="98"/>
      <c r="AB20" s="98">
        <f>AP20/AI20</f>
        <v>288.9019555317439</v>
      </c>
      <c r="AC20" s="98"/>
      <c r="AD20" s="98"/>
      <c r="AE20" s="98"/>
      <c r="AF20" s="63">
        <f>AI20</f>
        <v>74.66</v>
      </c>
      <c r="AG20" s="73"/>
      <c r="AH20" s="73"/>
      <c r="AI20" s="73">
        <v>74.66</v>
      </c>
      <c r="AJ20" s="73"/>
      <c r="AK20" s="73"/>
      <c r="AL20" s="73"/>
      <c r="AM20" s="63">
        <f aca="true" t="shared" si="17" ref="AM20:AM25">SUM(AN20:AR20)</f>
        <v>21569.42</v>
      </c>
      <c r="AN20" s="73"/>
      <c r="AO20" s="73"/>
      <c r="AP20" s="73">
        <v>21569.42</v>
      </c>
      <c r="AQ20" s="73"/>
      <c r="AR20" s="73"/>
      <c r="AS20" s="73"/>
      <c r="AT20" s="63">
        <f aca="true" t="shared" si="18" ref="AT20:AT25">SUM(AU20:AY20)</f>
        <v>53790.663380000005</v>
      </c>
      <c r="AU20" s="73"/>
      <c r="AV20" s="73"/>
      <c r="AW20" s="37">
        <f>(N20-AI20)*G20</f>
        <v>53790.663380000005</v>
      </c>
      <c r="AX20" s="73"/>
      <c r="AY20" s="73"/>
      <c r="AZ20" s="73"/>
    </row>
    <row r="21" spans="1:52" s="4" customFormat="1" ht="58.5" customHeight="1">
      <c r="A21" s="66"/>
      <c r="B21" s="55" t="s">
        <v>43</v>
      </c>
      <c r="C21" s="47"/>
      <c r="D21" s="62">
        <f t="shared" si="14"/>
        <v>343.511</v>
      </c>
      <c r="E21" s="68"/>
      <c r="F21" s="69">
        <v>343.511</v>
      </c>
      <c r="G21" s="69"/>
      <c r="H21" s="69"/>
      <c r="I21" s="69"/>
      <c r="J21" s="69"/>
      <c r="K21" s="57">
        <f t="shared" si="5"/>
        <v>106.17531898541822</v>
      </c>
      <c r="L21" s="50"/>
      <c r="M21" s="36">
        <v>106.18</v>
      </c>
      <c r="N21" s="50"/>
      <c r="O21" s="50"/>
      <c r="P21" s="50"/>
      <c r="Q21" s="50"/>
      <c r="R21" s="35">
        <f t="shared" si="15"/>
        <v>36472.39</v>
      </c>
      <c r="S21" s="50"/>
      <c r="T21" s="50">
        <v>36472.39</v>
      </c>
      <c r="U21" s="50"/>
      <c r="V21" s="36"/>
      <c r="W21" s="36"/>
      <c r="X21" s="36"/>
      <c r="Y21" s="62">
        <f t="shared" si="16"/>
        <v>343.51071524243235</v>
      </c>
      <c r="Z21" s="34"/>
      <c r="AA21" s="34">
        <f>AO21/AH21</f>
        <v>343.51071524243235</v>
      </c>
      <c r="AB21" s="34"/>
      <c r="AC21" s="34"/>
      <c r="AD21" s="34"/>
      <c r="AE21" s="34"/>
      <c r="AF21" s="35">
        <f>AH21</f>
        <v>74.66</v>
      </c>
      <c r="AG21" s="36"/>
      <c r="AH21" s="36">
        <v>74.66</v>
      </c>
      <c r="AI21" s="36"/>
      <c r="AJ21" s="36"/>
      <c r="AK21" s="36"/>
      <c r="AL21" s="36"/>
      <c r="AM21" s="35">
        <f t="shared" si="17"/>
        <v>25646.51</v>
      </c>
      <c r="AN21" s="36"/>
      <c r="AO21" s="36">
        <v>25646.51</v>
      </c>
      <c r="AP21" s="36"/>
      <c r="AQ21" s="36"/>
      <c r="AR21" s="36"/>
      <c r="AS21" s="36"/>
      <c r="AT21" s="35">
        <f t="shared" si="18"/>
        <v>10827.466720000004</v>
      </c>
      <c r="AU21" s="13"/>
      <c r="AV21" s="13">
        <f>(M21-AH21)*F21</f>
        <v>10827.466720000004</v>
      </c>
      <c r="AW21" s="13"/>
      <c r="AX21" s="13"/>
      <c r="AY21" s="13"/>
      <c r="AZ21" s="36"/>
    </row>
    <row r="22" spans="1:52" ht="40.5" customHeight="1">
      <c r="A22" s="9"/>
      <c r="B22" s="39" t="s">
        <v>35</v>
      </c>
      <c r="C22" s="40"/>
      <c r="D22" s="64">
        <f t="shared" si="14"/>
        <v>13532.960099999998</v>
      </c>
      <c r="E22" s="65">
        <v>613.6302</v>
      </c>
      <c r="F22" s="65">
        <v>455.0497</v>
      </c>
      <c r="G22" s="65">
        <v>7503.3912</v>
      </c>
      <c r="H22" s="65">
        <v>1287.5652</v>
      </c>
      <c r="I22" s="65">
        <v>3673.3238</v>
      </c>
      <c r="J22" s="65"/>
      <c r="K22" s="14">
        <f t="shared" si="5"/>
        <v>168.58439049118311</v>
      </c>
      <c r="L22" s="13">
        <v>167.49</v>
      </c>
      <c r="M22" s="13">
        <f>L22</f>
        <v>167.49</v>
      </c>
      <c r="N22" s="13">
        <f>L22</f>
        <v>167.49</v>
      </c>
      <c r="O22" s="13">
        <f>L22</f>
        <v>167.49</v>
      </c>
      <c r="P22" s="130">
        <f>W22/I22</f>
        <v>171.51218740912523</v>
      </c>
      <c r="Q22" s="13"/>
      <c r="R22" s="14">
        <f t="shared" si="15"/>
        <v>2281445.83</v>
      </c>
      <c r="S22" s="13">
        <v>102779.1</v>
      </c>
      <c r="T22" s="13">
        <v>76217.88</v>
      </c>
      <c r="U22" s="13">
        <v>1256770.23</v>
      </c>
      <c r="V22" s="13">
        <v>215658.82</v>
      </c>
      <c r="W22" s="13">
        <v>630019.8</v>
      </c>
      <c r="X22" s="13"/>
      <c r="Y22" s="64">
        <f t="shared" si="16"/>
        <v>13500.619876774714</v>
      </c>
      <c r="Z22" s="65">
        <f>AN22/AG22</f>
        <v>613.6301901955532</v>
      </c>
      <c r="AA22" s="65">
        <f>AO22/AH22</f>
        <v>455.0496919367801</v>
      </c>
      <c r="AB22" s="65">
        <f>AP22/AI22</f>
        <v>7503.391240289311</v>
      </c>
      <c r="AC22" s="65">
        <f>AQ22/AJ22</f>
        <v>1287.565229038307</v>
      </c>
      <c r="AD22" s="65">
        <f>AR22/AK22</f>
        <v>3640.9835253147608</v>
      </c>
      <c r="AE22" s="65"/>
      <c r="AF22" s="14">
        <f>AG22</f>
        <v>74.66</v>
      </c>
      <c r="AG22" s="13">
        <v>74.66</v>
      </c>
      <c r="AH22" s="13">
        <v>74.66</v>
      </c>
      <c r="AI22" s="13">
        <v>74.66</v>
      </c>
      <c r="AJ22" s="13">
        <v>74.66</v>
      </c>
      <c r="AK22" s="13">
        <v>74.66</v>
      </c>
      <c r="AL22" s="13"/>
      <c r="AM22" s="14">
        <f t="shared" si="17"/>
        <v>1007956.28</v>
      </c>
      <c r="AN22" s="13">
        <f>45813.63</f>
        <v>45813.63</v>
      </c>
      <c r="AO22" s="13">
        <f>33974.01</f>
        <v>33974.01</v>
      </c>
      <c r="AP22" s="13">
        <f>214460.28+345742.91</f>
        <v>560203.19</v>
      </c>
      <c r="AQ22" s="13">
        <f>96129.62</f>
        <v>96129.62</v>
      </c>
      <c r="AR22" s="13">
        <f>271257.07+578.76</f>
        <v>271835.83</v>
      </c>
      <c r="AS22" s="13"/>
      <c r="AT22" s="14">
        <f t="shared" si="18"/>
        <v>1271039.4828210003</v>
      </c>
      <c r="AU22" s="37">
        <f>(L22-AG22)*E22</f>
        <v>56963.291466</v>
      </c>
      <c r="AV22" s="37">
        <f>(M22-AH22)*F22</f>
        <v>42242.263651</v>
      </c>
      <c r="AW22" s="37">
        <f>(N22-AI22)*G22</f>
        <v>696539.8050960001</v>
      </c>
      <c r="AX22" s="37">
        <f>(O22-AJ22)*H22</f>
        <v>119524.67751600001</v>
      </c>
      <c r="AY22" s="37">
        <f>(P22-AK22)*I22</f>
        <v>355769.44509200007</v>
      </c>
      <c r="AZ22" s="13"/>
    </row>
    <row r="23" spans="1:52" s="4" customFormat="1" ht="42" customHeight="1">
      <c r="A23" s="66"/>
      <c r="B23" s="39" t="s">
        <v>23</v>
      </c>
      <c r="C23" s="39"/>
      <c r="D23" s="64">
        <f t="shared" si="14"/>
        <v>467.58</v>
      </c>
      <c r="E23" s="65"/>
      <c r="F23" s="65">
        <v>467.58</v>
      </c>
      <c r="G23" s="65"/>
      <c r="H23" s="65"/>
      <c r="I23" s="65"/>
      <c r="J23" s="65"/>
      <c r="K23" s="14">
        <f t="shared" si="5"/>
        <v>109.12639548312589</v>
      </c>
      <c r="L23" s="13"/>
      <c r="M23" s="13">
        <v>109.13</v>
      </c>
      <c r="N23" s="13"/>
      <c r="O23" s="13"/>
      <c r="P23" s="13"/>
      <c r="Q23" s="13"/>
      <c r="R23" s="14">
        <f t="shared" si="15"/>
        <v>51025.32</v>
      </c>
      <c r="S23" s="13"/>
      <c r="T23" s="13">
        <v>51025.32</v>
      </c>
      <c r="U23" s="13"/>
      <c r="V23" s="13"/>
      <c r="W23" s="13"/>
      <c r="X23" s="13"/>
      <c r="Y23" s="64">
        <f t="shared" si="16"/>
        <v>467.58036431824274</v>
      </c>
      <c r="Z23" s="65"/>
      <c r="AA23" s="65">
        <f>AO23/AH23</f>
        <v>467.58036431824274</v>
      </c>
      <c r="AB23" s="65"/>
      <c r="AC23" s="65"/>
      <c r="AD23" s="65"/>
      <c r="AE23" s="65"/>
      <c r="AF23" s="14">
        <f>AH23</f>
        <v>74.66</v>
      </c>
      <c r="AG23" s="13"/>
      <c r="AH23" s="13">
        <v>74.66</v>
      </c>
      <c r="AI23" s="13"/>
      <c r="AJ23" s="13"/>
      <c r="AK23" s="13"/>
      <c r="AL23" s="13"/>
      <c r="AM23" s="14">
        <f t="shared" si="17"/>
        <v>34909.55</v>
      </c>
      <c r="AN23" s="13"/>
      <c r="AO23" s="13">
        <v>34909.55</v>
      </c>
      <c r="AP23" s="13"/>
      <c r="AQ23" s="13"/>
      <c r="AR23" s="13"/>
      <c r="AS23" s="13"/>
      <c r="AT23" s="14">
        <f t="shared" si="18"/>
        <v>16117.4826</v>
      </c>
      <c r="AU23" s="13"/>
      <c r="AV23" s="37">
        <f>(M23-AH23)*F23</f>
        <v>16117.4826</v>
      </c>
      <c r="AW23" s="13"/>
      <c r="AX23" s="13"/>
      <c r="AY23" s="13"/>
      <c r="AZ23" s="13"/>
    </row>
    <row r="24" spans="1:52" s="4" customFormat="1" ht="57" customHeight="1">
      <c r="A24" s="66"/>
      <c r="B24" s="43" t="s">
        <v>41</v>
      </c>
      <c r="C24" s="43"/>
      <c r="D24" s="67">
        <f t="shared" si="14"/>
        <v>9017.559</v>
      </c>
      <c r="E24" s="34"/>
      <c r="F24" s="97">
        <v>9017.559</v>
      </c>
      <c r="G24" s="34"/>
      <c r="H24" s="34"/>
      <c r="I24" s="97"/>
      <c r="J24" s="97"/>
      <c r="K24" s="15">
        <f t="shared" si="5"/>
        <v>119.33000050235326</v>
      </c>
      <c r="L24" s="37"/>
      <c r="M24" s="129">
        <v>119.33</v>
      </c>
      <c r="N24" s="37"/>
      <c r="O24" s="37"/>
      <c r="P24" s="37"/>
      <c r="Q24" s="37"/>
      <c r="R24" s="15">
        <f t="shared" si="15"/>
        <v>1076065.32</v>
      </c>
      <c r="S24" s="37"/>
      <c r="T24" s="37">
        <v>1076065.32</v>
      </c>
      <c r="U24" s="37"/>
      <c r="V24" s="37"/>
      <c r="W24" s="37"/>
      <c r="X24" s="37"/>
      <c r="Y24" s="67">
        <f t="shared" si="16"/>
        <v>9017.305652290384</v>
      </c>
      <c r="Z24" s="97"/>
      <c r="AA24" s="97">
        <f>AO24/AH24</f>
        <v>9017.305652290384</v>
      </c>
      <c r="AB24" s="97"/>
      <c r="AC24" s="97"/>
      <c r="AD24" s="97"/>
      <c r="AE24" s="97"/>
      <c r="AF24" s="15">
        <f>AH24</f>
        <v>74.66</v>
      </c>
      <c r="AG24" s="37"/>
      <c r="AH24" s="37">
        <v>74.66</v>
      </c>
      <c r="AI24" s="37"/>
      <c r="AJ24" s="37"/>
      <c r="AK24" s="37"/>
      <c r="AL24" s="37"/>
      <c r="AM24" s="15">
        <f t="shared" si="17"/>
        <v>673232.04</v>
      </c>
      <c r="AN24" s="37"/>
      <c r="AO24" s="36">
        <f>627234.66+45997.38</f>
        <v>673232.04</v>
      </c>
      <c r="AP24" s="37"/>
      <c r="AQ24" s="37"/>
      <c r="AR24" s="37"/>
      <c r="AS24" s="37"/>
      <c r="AT24" s="15">
        <f t="shared" si="18"/>
        <v>402814.36053</v>
      </c>
      <c r="AU24" s="37"/>
      <c r="AV24" s="37">
        <f>(M24-AH24)*F24</f>
        <v>402814.36053</v>
      </c>
      <c r="AW24" s="37"/>
      <c r="AX24" s="37"/>
      <c r="AY24" s="37"/>
      <c r="AZ24" s="37"/>
    </row>
    <row r="25" spans="1:52" ht="65.25" customHeight="1">
      <c r="A25" s="9"/>
      <c r="B25" s="39" t="s">
        <v>42</v>
      </c>
      <c r="C25" s="40"/>
      <c r="D25" s="64">
        <f t="shared" si="14"/>
        <v>503.974</v>
      </c>
      <c r="E25" s="65"/>
      <c r="F25" s="65"/>
      <c r="G25" s="65"/>
      <c r="H25" s="65"/>
      <c r="I25" s="65">
        <v>503.974</v>
      </c>
      <c r="J25" s="65"/>
      <c r="K25" s="14">
        <f t="shared" si="5"/>
        <v>153.4236091544405</v>
      </c>
      <c r="L25" s="13"/>
      <c r="M25" s="13"/>
      <c r="N25" s="13"/>
      <c r="O25" s="13"/>
      <c r="P25" s="13">
        <v>153.42</v>
      </c>
      <c r="Q25" s="13"/>
      <c r="R25" s="14">
        <f t="shared" si="15"/>
        <v>77321.51</v>
      </c>
      <c r="S25" s="13"/>
      <c r="T25" s="13"/>
      <c r="U25" s="13"/>
      <c r="V25" s="13"/>
      <c r="W25" s="13">
        <v>77321.51</v>
      </c>
      <c r="X25" s="13"/>
      <c r="Y25" s="64">
        <f t="shared" si="16"/>
        <v>503.9742834181624</v>
      </c>
      <c r="Z25" s="65"/>
      <c r="AA25" s="65"/>
      <c r="AB25" s="65"/>
      <c r="AC25" s="65"/>
      <c r="AD25" s="65">
        <f>AR25/AK25</f>
        <v>503.9742834181624</v>
      </c>
      <c r="AE25" s="65"/>
      <c r="AF25" s="14">
        <f>AK25</f>
        <v>74.66</v>
      </c>
      <c r="AG25" s="13"/>
      <c r="AH25" s="13"/>
      <c r="AI25" s="13"/>
      <c r="AJ25" s="13"/>
      <c r="AK25" s="37">
        <v>74.66</v>
      </c>
      <c r="AL25" s="13"/>
      <c r="AM25" s="14">
        <f t="shared" si="17"/>
        <v>37626.72</v>
      </c>
      <c r="AN25" s="13"/>
      <c r="AO25" s="13"/>
      <c r="AP25" s="13"/>
      <c r="AQ25" s="13"/>
      <c r="AR25" s="13">
        <v>37626.72</v>
      </c>
      <c r="AS25" s="13"/>
      <c r="AT25" s="14">
        <f t="shared" si="18"/>
        <v>39692.99223999999</v>
      </c>
      <c r="AU25" s="37"/>
      <c r="AV25" s="37"/>
      <c r="AW25" s="37"/>
      <c r="AX25" s="37"/>
      <c r="AY25" s="37">
        <f>(P25-AK25)*I25</f>
        <v>39692.99223999999</v>
      </c>
      <c r="AZ25" s="13"/>
    </row>
    <row r="26" spans="1:52" ht="58.5" customHeight="1" thickBot="1">
      <c r="A26" s="38">
        <v>36</v>
      </c>
      <c r="B26" s="39" t="s">
        <v>37</v>
      </c>
      <c r="C26" s="106"/>
      <c r="D26" s="62">
        <f>SUM(E26:J26)</f>
        <v>129.918</v>
      </c>
      <c r="E26" s="42"/>
      <c r="F26" s="42"/>
      <c r="G26" s="76"/>
      <c r="H26" s="42"/>
      <c r="I26" s="107"/>
      <c r="J26" s="69">
        <v>129.918</v>
      </c>
      <c r="K26" s="35">
        <f t="shared" si="5"/>
        <v>89.17432534367832</v>
      </c>
      <c r="L26" s="108"/>
      <c r="M26" s="13"/>
      <c r="N26" s="13"/>
      <c r="O26" s="13"/>
      <c r="P26" s="13"/>
      <c r="Q26" s="13">
        <v>89.17</v>
      </c>
      <c r="R26" s="57">
        <f>SUM(S26:X26)</f>
        <v>11585.35</v>
      </c>
      <c r="S26" s="13"/>
      <c r="T26" s="13"/>
      <c r="U26" s="13"/>
      <c r="V26" s="13"/>
      <c r="W26" s="13"/>
      <c r="X26" s="13">
        <v>11585.35</v>
      </c>
      <c r="Y26" s="64">
        <f>AE26</f>
        <v>129.91816233592286</v>
      </c>
      <c r="Z26" s="65"/>
      <c r="AA26" s="65"/>
      <c r="AB26" s="65"/>
      <c r="AC26" s="65"/>
      <c r="AD26" s="65"/>
      <c r="AE26" s="65">
        <f>AS26/AL26</f>
        <v>129.91816233592286</v>
      </c>
      <c r="AF26" s="14">
        <f>AL26</f>
        <v>74.66</v>
      </c>
      <c r="AG26" s="13"/>
      <c r="AH26" s="13"/>
      <c r="AI26" s="13"/>
      <c r="AJ26" s="13"/>
      <c r="AK26" s="109"/>
      <c r="AL26" s="109">
        <v>74.66</v>
      </c>
      <c r="AM26" s="14">
        <f>AS26</f>
        <v>9699.69</v>
      </c>
      <c r="AN26" s="13"/>
      <c r="AO26" s="13"/>
      <c r="AP26" s="13"/>
      <c r="AQ26" s="13"/>
      <c r="AR26" s="13"/>
      <c r="AS26" s="13">
        <v>9699.69</v>
      </c>
      <c r="AT26" s="57">
        <f>SUM(AU26:AZ26)</f>
        <v>1885.1101800000008</v>
      </c>
      <c r="AU26" s="36"/>
      <c r="AV26" s="36"/>
      <c r="AW26" s="36"/>
      <c r="AX26" s="36"/>
      <c r="AY26" s="36"/>
      <c r="AZ26" s="37">
        <f>(Q26-AL26)*J26</f>
        <v>1885.1101800000008</v>
      </c>
    </row>
    <row r="27" spans="1:65" s="29" customFormat="1" ht="43.5" customHeight="1" thickBot="1">
      <c r="A27" s="23">
        <v>3</v>
      </c>
      <c r="B27" s="24" t="s">
        <v>1</v>
      </c>
      <c r="C27" s="24" t="s">
        <v>5</v>
      </c>
      <c r="D27" s="71">
        <f aca="true" t="shared" si="19" ref="D27:J27">SUM(D28:D36)</f>
        <v>71334.343</v>
      </c>
      <c r="E27" s="71">
        <f t="shared" si="19"/>
        <v>8848.05</v>
      </c>
      <c r="F27" s="71">
        <f t="shared" si="19"/>
        <v>29407.762</v>
      </c>
      <c r="G27" s="71">
        <f t="shared" si="19"/>
        <v>14439.75</v>
      </c>
      <c r="H27" s="71">
        <f t="shared" si="19"/>
        <v>9915.75</v>
      </c>
      <c r="I27" s="71">
        <f t="shared" si="19"/>
        <v>7807.611</v>
      </c>
      <c r="J27" s="71">
        <f t="shared" si="19"/>
        <v>915.42</v>
      </c>
      <c r="K27" s="28">
        <f t="shared" si="5"/>
        <v>22.844111846659892</v>
      </c>
      <c r="L27" s="28">
        <f aca="true" t="shared" si="20" ref="L27:Q27">S27/E27</f>
        <v>24.71627985827386</v>
      </c>
      <c r="M27" s="28">
        <f t="shared" si="20"/>
        <v>24.847252912343347</v>
      </c>
      <c r="N27" s="28">
        <f t="shared" si="20"/>
        <v>20.388336363164186</v>
      </c>
      <c r="O27" s="28">
        <f t="shared" si="20"/>
        <v>19.953799763003303</v>
      </c>
      <c r="P27" s="28">
        <f t="shared" si="20"/>
        <v>20.70930659839482</v>
      </c>
      <c r="Q27" s="28">
        <f t="shared" si="20"/>
        <v>28.650400908872435</v>
      </c>
      <c r="R27" s="28">
        <f aca="true" t="shared" si="21" ref="R27:AE27">SUM(R28:R36)</f>
        <v>1629569.71</v>
      </c>
      <c r="S27" s="28">
        <f t="shared" si="21"/>
        <v>218690.88</v>
      </c>
      <c r="T27" s="28">
        <f t="shared" si="21"/>
        <v>730702.1</v>
      </c>
      <c r="U27" s="28">
        <f t="shared" si="21"/>
        <v>294402.48000000004</v>
      </c>
      <c r="V27" s="28">
        <f t="shared" si="21"/>
        <v>197856.89</v>
      </c>
      <c r="W27" s="28">
        <f t="shared" si="21"/>
        <v>161690.21</v>
      </c>
      <c r="X27" s="28">
        <f t="shared" si="21"/>
        <v>26227.15</v>
      </c>
      <c r="Y27" s="60">
        <f t="shared" si="21"/>
        <v>71877.39548348286</v>
      </c>
      <c r="Z27" s="60">
        <f t="shared" si="21"/>
        <v>8784.091047812817</v>
      </c>
      <c r="AA27" s="60">
        <f t="shared" si="21"/>
        <v>29652.159206510678</v>
      </c>
      <c r="AB27" s="60">
        <f t="shared" si="21"/>
        <v>14474.911200807264</v>
      </c>
      <c r="AC27" s="60">
        <f t="shared" si="21"/>
        <v>10261.676306443429</v>
      </c>
      <c r="AD27" s="60">
        <f t="shared" si="21"/>
        <v>7789.1318624935875</v>
      </c>
      <c r="AE27" s="60">
        <f t="shared" si="21"/>
        <v>915.4258594150848</v>
      </c>
      <c r="AF27" s="28">
        <f aca="true" t="shared" si="22" ref="AF27:AF45">AM27/Y27</f>
        <v>19.678772171496348</v>
      </c>
      <c r="AG27" s="28">
        <f>AG32</f>
        <v>19.66</v>
      </c>
      <c r="AH27" s="101">
        <f>AO27/AA27</f>
        <v>19.66</v>
      </c>
      <c r="AI27" s="101">
        <f>AI32</f>
        <v>19.82</v>
      </c>
      <c r="AJ27" s="101">
        <f>AJ32</f>
        <v>19.71</v>
      </c>
      <c r="AK27" s="101">
        <f>AK32</f>
        <v>19.49</v>
      </c>
      <c r="AL27" s="101">
        <f>AL33</f>
        <v>19.49</v>
      </c>
      <c r="AM27" s="101">
        <f aca="true" t="shared" si="23" ref="AM27:AZ27">SUM(AM28:AM36)</f>
        <v>1414458.89</v>
      </c>
      <c r="AN27" s="119">
        <f t="shared" si="23"/>
        <v>172695.22999999998</v>
      </c>
      <c r="AO27" s="119">
        <f t="shared" si="23"/>
        <v>582961.45</v>
      </c>
      <c r="AP27" s="119">
        <f t="shared" si="23"/>
        <v>286892.74</v>
      </c>
      <c r="AQ27" s="119">
        <f t="shared" si="23"/>
        <v>202257.63999999998</v>
      </c>
      <c r="AR27" s="119">
        <f t="shared" si="23"/>
        <v>151810.18</v>
      </c>
      <c r="AS27" s="119">
        <f t="shared" si="23"/>
        <v>17841.65</v>
      </c>
      <c r="AT27" s="118">
        <f t="shared" si="23"/>
        <v>225636.54355999996</v>
      </c>
      <c r="AU27" s="28">
        <f t="shared" si="23"/>
        <v>44720.93449999999</v>
      </c>
      <c r="AV27" s="28">
        <f t="shared" si="23"/>
        <v>152507.16007999997</v>
      </c>
      <c r="AW27" s="28">
        <f t="shared" si="23"/>
        <v>8153.568699999985</v>
      </c>
      <c r="AX27" s="28">
        <f t="shared" si="23"/>
        <v>2379.7799999999843</v>
      </c>
      <c r="AY27" s="28">
        <f t="shared" si="23"/>
        <v>9489.853080000006</v>
      </c>
      <c r="AZ27" s="28">
        <f t="shared" si="23"/>
        <v>8385.2472</v>
      </c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</row>
    <row r="28" spans="1:52" ht="51" customHeight="1">
      <c r="A28" s="74"/>
      <c r="B28" s="47" t="s">
        <v>20</v>
      </c>
      <c r="C28" s="32"/>
      <c r="D28" s="75">
        <f aca="true" t="shared" si="24" ref="D28:D36">SUM(E28:J28)</f>
        <v>154</v>
      </c>
      <c r="E28" s="76">
        <v>154</v>
      </c>
      <c r="F28" s="76"/>
      <c r="G28" s="76"/>
      <c r="H28" s="76"/>
      <c r="I28" s="76"/>
      <c r="J28" s="76"/>
      <c r="K28" s="14">
        <f t="shared" si="5"/>
        <v>34.99883116883117</v>
      </c>
      <c r="L28" s="37">
        <v>35</v>
      </c>
      <c r="M28" s="36"/>
      <c r="N28" s="36"/>
      <c r="O28" s="37"/>
      <c r="P28" s="37"/>
      <c r="Q28" s="37"/>
      <c r="R28" s="14">
        <f aca="true" t="shared" si="25" ref="R28:R36">SUM(S28:X28)</f>
        <v>5389.82</v>
      </c>
      <c r="S28" s="36">
        <v>5389.82</v>
      </c>
      <c r="T28" s="36"/>
      <c r="U28" s="36"/>
      <c r="V28" s="13"/>
      <c r="W28" s="13"/>
      <c r="X28" s="13"/>
      <c r="Y28" s="64">
        <f>SUM(Z28:AD28)</f>
        <v>154.00050864699898</v>
      </c>
      <c r="Z28" s="65">
        <f>AN28/AG28</f>
        <v>154.00050864699898</v>
      </c>
      <c r="AA28" s="65"/>
      <c r="AB28" s="65"/>
      <c r="AC28" s="65"/>
      <c r="AD28" s="65"/>
      <c r="AE28" s="65"/>
      <c r="AF28" s="14">
        <f>AM28/Y28</f>
        <v>19.66</v>
      </c>
      <c r="AG28" s="13">
        <v>19.66</v>
      </c>
      <c r="AH28" s="13"/>
      <c r="AI28" s="13"/>
      <c r="AJ28" s="13"/>
      <c r="AK28" s="13"/>
      <c r="AL28" s="13"/>
      <c r="AM28" s="14">
        <f>SUM(AN28:AR28)</f>
        <v>3027.65</v>
      </c>
      <c r="AN28" s="36">
        <v>3027.65</v>
      </c>
      <c r="AO28" s="36"/>
      <c r="AP28" s="36"/>
      <c r="AQ28" s="13"/>
      <c r="AR28" s="13"/>
      <c r="AS28" s="13"/>
      <c r="AT28" s="14">
        <f>SUM(AU28:AY28)</f>
        <v>2362.36</v>
      </c>
      <c r="AU28" s="37">
        <f>(L28-AG28)*E28</f>
        <v>2362.36</v>
      </c>
      <c r="AV28" s="37"/>
      <c r="AW28" s="37"/>
      <c r="AX28" s="37"/>
      <c r="AY28" s="37"/>
      <c r="AZ28" s="13"/>
    </row>
    <row r="29" spans="1:52" ht="54" customHeight="1">
      <c r="A29" s="74"/>
      <c r="B29" s="47" t="s">
        <v>21</v>
      </c>
      <c r="C29" s="48"/>
      <c r="D29" s="75">
        <f t="shared" si="24"/>
        <v>385.72</v>
      </c>
      <c r="E29" s="76"/>
      <c r="F29" s="76"/>
      <c r="G29" s="76">
        <v>385.72</v>
      </c>
      <c r="H29" s="76"/>
      <c r="I29" s="76"/>
      <c r="J29" s="76"/>
      <c r="K29" s="14">
        <f t="shared" si="5"/>
        <v>33.75979985481696</v>
      </c>
      <c r="L29" s="37"/>
      <c r="M29" s="13"/>
      <c r="N29" s="50">
        <v>33.76</v>
      </c>
      <c r="O29" s="37"/>
      <c r="P29" s="37"/>
      <c r="Q29" s="37"/>
      <c r="R29" s="14">
        <f t="shared" si="25"/>
        <v>13021.83</v>
      </c>
      <c r="S29" s="50"/>
      <c r="T29" s="50"/>
      <c r="U29" s="50">
        <v>13021.83</v>
      </c>
      <c r="V29" s="36"/>
      <c r="W29" s="36"/>
      <c r="X29" s="13"/>
      <c r="Y29" s="67">
        <f>SUM(Z29:AD29)</f>
        <v>385.7189707366297</v>
      </c>
      <c r="Z29" s="97"/>
      <c r="AA29" s="97"/>
      <c r="AB29" s="97">
        <f>AP29/AI29</f>
        <v>385.7189707366297</v>
      </c>
      <c r="AC29" s="97"/>
      <c r="AD29" s="97"/>
      <c r="AE29" s="97"/>
      <c r="AF29" s="14">
        <f>AM29/Y29</f>
        <v>19.82</v>
      </c>
      <c r="AG29" s="13"/>
      <c r="AH29" s="13"/>
      <c r="AI29" s="13">
        <v>19.82</v>
      </c>
      <c r="AJ29" s="13"/>
      <c r="AK29" s="13"/>
      <c r="AL29" s="37"/>
      <c r="AM29" s="15">
        <f>SUM(AN29:AR29)</f>
        <v>7644.95</v>
      </c>
      <c r="AN29" s="50"/>
      <c r="AO29" s="50"/>
      <c r="AP29" s="50">
        <v>7644.95</v>
      </c>
      <c r="AQ29" s="36"/>
      <c r="AR29" s="36"/>
      <c r="AS29" s="13"/>
      <c r="AT29" s="14">
        <f>SUM(AU29:AY29)</f>
        <v>5376.9367999999995</v>
      </c>
      <c r="AU29" s="37"/>
      <c r="AV29" s="37"/>
      <c r="AW29" s="37">
        <f>(N29-AI29)*G29</f>
        <v>5376.9367999999995</v>
      </c>
      <c r="AX29" s="37"/>
      <c r="AY29" s="37"/>
      <c r="AZ29" s="13"/>
    </row>
    <row r="30" spans="1:52" ht="59.25" customHeight="1">
      <c r="A30" s="38"/>
      <c r="B30" s="54" t="s">
        <v>39</v>
      </c>
      <c r="C30" s="40"/>
      <c r="D30" s="75">
        <f t="shared" si="24"/>
        <v>7938.841</v>
      </c>
      <c r="E30" s="76"/>
      <c r="F30" s="65">
        <v>7938.841</v>
      </c>
      <c r="G30" s="76"/>
      <c r="H30" s="76"/>
      <c r="I30" s="76"/>
      <c r="J30" s="76"/>
      <c r="K30" s="14">
        <f t="shared" si="5"/>
        <v>22.11139888051669</v>
      </c>
      <c r="L30" s="13"/>
      <c r="M30" s="37">
        <v>22.11</v>
      </c>
      <c r="N30" s="13"/>
      <c r="O30" s="37"/>
      <c r="P30" s="37"/>
      <c r="Q30" s="37"/>
      <c r="R30" s="14">
        <f t="shared" si="25"/>
        <v>175538.88</v>
      </c>
      <c r="S30" s="13"/>
      <c r="T30" s="13">
        <v>175538.88</v>
      </c>
      <c r="U30" s="13"/>
      <c r="V30" s="13"/>
      <c r="W30" s="13"/>
      <c r="X30" s="37"/>
      <c r="Y30" s="67">
        <f>SUM(Z30:AD30)</f>
        <v>7938.840793489319</v>
      </c>
      <c r="Z30" s="97"/>
      <c r="AA30" s="97">
        <f>AO30/AH30</f>
        <v>7938.840793489319</v>
      </c>
      <c r="AB30" s="97"/>
      <c r="AC30" s="97"/>
      <c r="AD30" s="97"/>
      <c r="AE30" s="97"/>
      <c r="AF30" s="14">
        <f>AM30/Y30</f>
        <v>19.66</v>
      </c>
      <c r="AG30" s="37"/>
      <c r="AH30" s="37">
        <v>19.66</v>
      </c>
      <c r="AI30" s="37"/>
      <c r="AJ30" s="37"/>
      <c r="AK30" s="37"/>
      <c r="AL30" s="37"/>
      <c r="AM30" s="15">
        <f>SUM(AN30:AR30)</f>
        <v>156077.61000000002</v>
      </c>
      <c r="AN30" s="13"/>
      <c r="AO30" s="13">
        <f>155783.16+294.45</f>
        <v>156077.61000000002</v>
      </c>
      <c r="AP30" s="13"/>
      <c r="AQ30" s="13"/>
      <c r="AR30" s="13"/>
      <c r="AS30" s="37"/>
      <c r="AT30" s="15">
        <f>SUM(AU30:AY30)</f>
        <v>19450.160449999996</v>
      </c>
      <c r="AU30" s="37"/>
      <c r="AV30" s="37">
        <f>(M30-AH30)*F30</f>
        <v>19450.160449999996</v>
      </c>
      <c r="AW30" s="37"/>
      <c r="AX30" s="37"/>
      <c r="AY30" s="37"/>
      <c r="AZ30" s="13"/>
    </row>
    <row r="31" spans="1:52" ht="35.25" customHeight="1">
      <c r="A31" s="38"/>
      <c r="B31" s="39" t="s">
        <v>22</v>
      </c>
      <c r="C31" s="40"/>
      <c r="D31" s="75">
        <f t="shared" si="24"/>
        <v>119.9</v>
      </c>
      <c r="E31" s="76"/>
      <c r="F31" s="76"/>
      <c r="G31" s="77">
        <v>119.9</v>
      </c>
      <c r="H31" s="76"/>
      <c r="I31" s="76"/>
      <c r="J31" s="76"/>
      <c r="K31" s="14">
        <f t="shared" si="5"/>
        <v>27.87164303586322</v>
      </c>
      <c r="L31" s="13"/>
      <c r="M31" s="122"/>
      <c r="N31" s="13">
        <v>27.87</v>
      </c>
      <c r="O31" s="13"/>
      <c r="P31" s="13"/>
      <c r="Q31" s="13"/>
      <c r="R31" s="14">
        <f t="shared" si="25"/>
        <v>3341.81</v>
      </c>
      <c r="S31" s="13"/>
      <c r="T31" s="13"/>
      <c r="U31" s="13">
        <v>3341.81</v>
      </c>
      <c r="V31" s="13"/>
      <c r="W31" s="13"/>
      <c r="X31" s="13"/>
      <c r="Y31" s="64">
        <f>SUM(Z31:AD31)</f>
        <v>118.21745711402625</v>
      </c>
      <c r="Z31" s="65"/>
      <c r="AA31" s="65"/>
      <c r="AB31" s="65">
        <f>AP31/AI31</f>
        <v>118.21745711402625</v>
      </c>
      <c r="AC31" s="65"/>
      <c r="AD31" s="65"/>
      <c r="AE31" s="65"/>
      <c r="AF31" s="14">
        <f>AM31/Y31</f>
        <v>19.82</v>
      </c>
      <c r="AG31" s="13"/>
      <c r="AH31" s="13"/>
      <c r="AI31" s="13">
        <v>19.82</v>
      </c>
      <c r="AJ31" s="13"/>
      <c r="AK31" s="13"/>
      <c r="AL31" s="13"/>
      <c r="AM31" s="14">
        <f>SUM(AN31:AR31)</f>
        <v>2343.07</v>
      </c>
      <c r="AN31" s="13"/>
      <c r="AO31" s="13"/>
      <c r="AP31" s="13">
        <v>2343.07</v>
      </c>
      <c r="AQ31" s="13"/>
      <c r="AR31" s="13"/>
      <c r="AS31" s="13"/>
      <c r="AT31" s="15">
        <f>SUM(AU31:AY31)</f>
        <v>965.1950000000002</v>
      </c>
      <c r="AU31" s="37"/>
      <c r="AV31" s="37"/>
      <c r="AW31" s="37">
        <f>(N31-AI31)*G31</f>
        <v>965.1950000000002</v>
      </c>
      <c r="AX31" s="37"/>
      <c r="AY31" s="37"/>
      <c r="AZ31" s="13"/>
    </row>
    <row r="32" spans="1:52" ht="42" customHeight="1">
      <c r="A32" s="9"/>
      <c r="B32" s="43" t="s">
        <v>25</v>
      </c>
      <c r="C32" s="32"/>
      <c r="D32" s="75">
        <f t="shared" si="24"/>
        <v>41184.39</v>
      </c>
      <c r="E32" s="34">
        <v>4115.05</v>
      </c>
      <c r="F32" s="34">
        <v>6276.71</v>
      </c>
      <c r="G32" s="34">
        <v>13934.13</v>
      </c>
      <c r="H32" s="34">
        <v>9915.75</v>
      </c>
      <c r="I32" s="34">
        <v>6942.75</v>
      </c>
      <c r="J32" s="96"/>
      <c r="K32" s="120">
        <f aca="true" t="shared" si="26" ref="K32:K45">R32/D32</f>
        <v>19.953799728489365</v>
      </c>
      <c r="L32" s="36">
        <v>19.95</v>
      </c>
      <c r="M32" s="36">
        <v>19.95</v>
      </c>
      <c r="N32" s="36">
        <v>19.95</v>
      </c>
      <c r="O32" s="36">
        <v>19.95</v>
      </c>
      <c r="P32" s="36">
        <v>19.95</v>
      </c>
      <c r="Q32" s="36"/>
      <c r="R32" s="14">
        <f t="shared" si="25"/>
        <v>821785.0700000001</v>
      </c>
      <c r="S32" s="36">
        <v>82110.88</v>
      </c>
      <c r="T32" s="36">
        <v>125244.22</v>
      </c>
      <c r="U32" s="36">
        <v>278038.84</v>
      </c>
      <c r="V32" s="36">
        <v>197856.89</v>
      </c>
      <c r="W32" s="36">
        <v>138534.24</v>
      </c>
      <c r="X32" s="36"/>
      <c r="Y32" s="67">
        <f>SUM(Z32:AD32)</f>
        <v>41034.09138042814</v>
      </c>
      <c r="Z32" s="97">
        <f>AN32/AG32</f>
        <v>4051.0574771108854</v>
      </c>
      <c r="AA32" s="97">
        <f>AO32/AH32</f>
        <v>6276.717192268566</v>
      </c>
      <c r="AB32" s="97">
        <f>AP32/AI32</f>
        <v>13970.974772956608</v>
      </c>
      <c r="AC32" s="97">
        <f>AQ32/AJ32</f>
        <v>9811.071029934043</v>
      </c>
      <c r="AD32" s="97">
        <f>AR32/AK32</f>
        <v>6924.270908158031</v>
      </c>
      <c r="AE32" s="97"/>
      <c r="AF32" s="121">
        <f t="shared" si="22"/>
        <v>19.697743822482238</v>
      </c>
      <c r="AG32" s="37">
        <v>19.66</v>
      </c>
      <c r="AH32" s="37">
        <v>19.66</v>
      </c>
      <c r="AI32" s="37">
        <v>19.82</v>
      </c>
      <c r="AJ32" s="37">
        <v>19.71</v>
      </c>
      <c r="AK32" s="37">
        <v>19.49</v>
      </c>
      <c r="AL32" s="37"/>
      <c r="AM32" s="15">
        <f>SUM(AN32:AS32)</f>
        <v>808279.02</v>
      </c>
      <c r="AN32" s="36">
        <f>79554.44+89.35</f>
        <v>79643.79000000001</v>
      </c>
      <c r="AO32" s="36">
        <f>67955.1+36499.98+18945.18</f>
        <v>123400.26000000001</v>
      </c>
      <c r="AP32" s="36">
        <f>101685.12+175219.6</f>
        <v>276904.72</v>
      </c>
      <c r="AQ32" s="36">
        <f>134636.59+43184.92+15458.08+91.47+5.15</f>
        <v>193376.21</v>
      </c>
      <c r="AR32" s="36">
        <f>134699.1+254.94</f>
        <v>134954.04</v>
      </c>
      <c r="AS32" s="37"/>
      <c r="AT32" s="15">
        <f>SUM(AU32:AY32)</f>
        <v>10398.492299999967</v>
      </c>
      <c r="AU32" s="37">
        <f>(L32-AG32)*E32</f>
        <v>1193.3644999999965</v>
      </c>
      <c r="AV32" s="37">
        <f>(M32-AH32)*F32</f>
        <v>1820.2458999999947</v>
      </c>
      <c r="AW32" s="37">
        <f>(N32-AI32)*G32</f>
        <v>1811.436899999986</v>
      </c>
      <c r="AX32" s="37">
        <f>(O32-AJ32)*H32</f>
        <v>2379.7799999999843</v>
      </c>
      <c r="AY32" s="37">
        <f>(P32-AK32)*I32</f>
        <v>3193.665000000006</v>
      </c>
      <c r="AZ32" s="37"/>
    </row>
    <row r="33" spans="1:52" ht="84" customHeight="1">
      <c r="A33" s="74"/>
      <c r="B33" s="31" t="s">
        <v>27</v>
      </c>
      <c r="C33" s="40"/>
      <c r="D33" s="75">
        <f t="shared" si="24"/>
        <v>19980.12</v>
      </c>
      <c r="E33" s="65">
        <v>4579</v>
      </c>
      <c r="F33" s="65">
        <v>14485.7</v>
      </c>
      <c r="G33" s="76"/>
      <c r="H33" s="76"/>
      <c r="I33" s="76"/>
      <c r="J33" s="65">
        <v>915.42</v>
      </c>
      <c r="K33" s="14">
        <f t="shared" si="26"/>
        <v>28.65039949710012</v>
      </c>
      <c r="L33" s="13">
        <v>28.65</v>
      </c>
      <c r="M33" s="13">
        <v>28.65</v>
      </c>
      <c r="N33" s="13"/>
      <c r="O33" s="13"/>
      <c r="P33" s="13"/>
      <c r="Q33" s="13">
        <v>28.65</v>
      </c>
      <c r="R33" s="14">
        <f t="shared" si="25"/>
        <v>572438.42</v>
      </c>
      <c r="S33" s="13">
        <v>131190.18</v>
      </c>
      <c r="T33" s="13">
        <v>415021.09</v>
      </c>
      <c r="U33" s="13"/>
      <c r="V33" s="13"/>
      <c r="W33" s="13"/>
      <c r="X33" s="13">
        <v>26227.15</v>
      </c>
      <c r="Y33" s="64">
        <f>SUM(Z33:AE33)</f>
        <v>20224.548443341835</v>
      </c>
      <c r="Z33" s="65">
        <f>AN33/AG33</f>
        <v>4579.033062054934</v>
      </c>
      <c r="AA33" s="65">
        <f>AO33/AH33</f>
        <v>14730.089521871818</v>
      </c>
      <c r="AB33" s="65"/>
      <c r="AC33" s="65"/>
      <c r="AD33" s="65"/>
      <c r="AE33" s="65">
        <f>AS33/AL33</f>
        <v>915.4258594150848</v>
      </c>
      <c r="AF33" s="14">
        <f t="shared" si="22"/>
        <v>19.652305272152972</v>
      </c>
      <c r="AG33" s="13">
        <v>19.66</v>
      </c>
      <c r="AH33" s="13">
        <v>19.66</v>
      </c>
      <c r="AI33" s="13"/>
      <c r="AJ33" s="13"/>
      <c r="AK33" s="13"/>
      <c r="AL33" s="37">
        <v>19.49</v>
      </c>
      <c r="AM33" s="15">
        <f>SUM(AN33:AS33)</f>
        <v>397458.99999999994</v>
      </c>
      <c r="AN33" s="13">
        <f>90023.79</f>
        <v>90023.79</v>
      </c>
      <c r="AO33" s="13">
        <f>222860.3+66228.03+279.44+225.79</f>
        <v>289593.55999999994</v>
      </c>
      <c r="AP33" s="13"/>
      <c r="AQ33" s="13"/>
      <c r="AR33" s="13"/>
      <c r="AS33" s="37">
        <v>17841.65</v>
      </c>
      <c r="AT33" s="14">
        <f>SUM(AU33:AZ33)</f>
        <v>179776.9002</v>
      </c>
      <c r="AU33" s="37">
        <f>(L33-AG33)*E33</f>
        <v>41165.20999999999</v>
      </c>
      <c r="AV33" s="37">
        <f>(M33-AH33)*F33</f>
        <v>130226.44299999998</v>
      </c>
      <c r="AW33" s="37"/>
      <c r="AX33" s="37"/>
      <c r="AY33" s="37"/>
      <c r="AZ33" s="37">
        <f>(Q33-AL33)*J33</f>
        <v>8385.2472</v>
      </c>
    </row>
    <row r="34" spans="1:52" ht="39.75" customHeight="1">
      <c r="A34" s="38"/>
      <c r="B34" s="39" t="s">
        <v>23</v>
      </c>
      <c r="C34" s="40"/>
      <c r="D34" s="75">
        <f t="shared" si="24"/>
        <v>706.511</v>
      </c>
      <c r="E34" s="76"/>
      <c r="F34" s="65">
        <v>706.511</v>
      </c>
      <c r="G34" s="76"/>
      <c r="H34" s="76"/>
      <c r="I34" s="76"/>
      <c r="J34" s="76"/>
      <c r="K34" s="14">
        <f t="shared" si="26"/>
        <v>21.086593131600218</v>
      </c>
      <c r="L34" s="13"/>
      <c r="M34" s="13">
        <v>21.09</v>
      </c>
      <c r="N34" s="13"/>
      <c r="O34" s="37"/>
      <c r="P34" s="37"/>
      <c r="Q34" s="37"/>
      <c r="R34" s="14">
        <f t="shared" si="25"/>
        <v>14897.91</v>
      </c>
      <c r="S34" s="13"/>
      <c r="T34" s="13">
        <v>14897.91</v>
      </c>
      <c r="U34" s="13"/>
      <c r="V34" s="13"/>
      <c r="W34" s="13"/>
      <c r="X34" s="13"/>
      <c r="Y34" s="67">
        <f>SUM(Z34:AD34)</f>
        <v>706.5116988809766</v>
      </c>
      <c r="Z34" s="97"/>
      <c r="AA34" s="97">
        <f>AO34/AH34</f>
        <v>706.5116988809766</v>
      </c>
      <c r="AB34" s="97"/>
      <c r="AC34" s="97"/>
      <c r="AD34" s="97"/>
      <c r="AE34" s="97"/>
      <c r="AF34" s="14">
        <f t="shared" si="22"/>
        <v>19.66</v>
      </c>
      <c r="AG34" s="37"/>
      <c r="AH34" s="37">
        <v>19.66</v>
      </c>
      <c r="AI34" s="37"/>
      <c r="AJ34" s="37"/>
      <c r="AK34" s="37"/>
      <c r="AL34" s="37"/>
      <c r="AM34" s="15">
        <f>SUM(AN34:AR34)</f>
        <v>13890.02</v>
      </c>
      <c r="AN34" s="13"/>
      <c r="AO34" s="13">
        <f>13622.54+267.48</f>
        <v>13890.02</v>
      </c>
      <c r="AP34" s="13"/>
      <c r="AQ34" s="13"/>
      <c r="AR34" s="13"/>
      <c r="AS34" s="37"/>
      <c r="AT34" s="14">
        <f>SUM(AU34:AZ34)</f>
        <v>1010.3107299999998</v>
      </c>
      <c r="AU34" s="37"/>
      <c r="AV34" s="37">
        <f>(M34-AH34)*F34</f>
        <v>1010.3107299999998</v>
      </c>
      <c r="AW34" s="37"/>
      <c r="AX34" s="37"/>
      <c r="AY34" s="37"/>
      <c r="AZ34" s="13"/>
    </row>
    <row r="35" spans="1:52" ht="39.75" customHeight="1">
      <c r="A35" s="38"/>
      <c r="B35" s="39" t="s">
        <v>44</v>
      </c>
      <c r="C35" s="40"/>
      <c r="D35" s="75">
        <f t="shared" si="24"/>
        <v>0</v>
      </c>
      <c r="E35" s="76"/>
      <c r="F35" s="76"/>
      <c r="G35" s="76"/>
      <c r="H35" s="76">
        <f>V35/O35</f>
        <v>0</v>
      </c>
      <c r="I35" s="76"/>
      <c r="J35" s="76"/>
      <c r="K35" s="14" t="e">
        <f t="shared" si="26"/>
        <v>#DIV/0!</v>
      </c>
      <c r="L35" s="13"/>
      <c r="M35" s="37"/>
      <c r="N35" s="13"/>
      <c r="O35" s="37">
        <v>34.89</v>
      </c>
      <c r="P35" s="37"/>
      <c r="Q35" s="37"/>
      <c r="R35" s="14">
        <f t="shared" si="25"/>
        <v>0</v>
      </c>
      <c r="S35" s="13"/>
      <c r="T35" s="13"/>
      <c r="U35" s="13"/>
      <c r="V35" s="13"/>
      <c r="W35" s="13"/>
      <c r="X35" s="37"/>
      <c r="Y35" s="67">
        <f>SUM(Z35:AD35)</f>
        <v>450.6052765093861</v>
      </c>
      <c r="Z35" s="97"/>
      <c r="AA35" s="97"/>
      <c r="AB35" s="97"/>
      <c r="AC35" s="97">
        <f>AQ35/AJ35</f>
        <v>450.6052765093861</v>
      </c>
      <c r="AD35" s="97"/>
      <c r="AE35" s="97"/>
      <c r="AF35" s="14">
        <f t="shared" si="22"/>
        <v>19.71</v>
      </c>
      <c r="AG35" s="37"/>
      <c r="AH35" s="37"/>
      <c r="AI35" s="37"/>
      <c r="AJ35" s="37">
        <v>19.71</v>
      </c>
      <c r="AK35" s="37"/>
      <c r="AL35" s="37"/>
      <c r="AM35" s="15">
        <f>SUM(AN35:AR35)</f>
        <v>8881.43</v>
      </c>
      <c r="AN35" s="13"/>
      <c r="AO35" s="13"/>
      <c r="AP35" s="13"/>
      <c r="AQ35" s="13">
        <v>8881.43</v>
      </c>
      <c r="AR35" s="13"/>
      <c r="AS35" s="37"/>
      <c r="AT35" s="14">
        <f>SUM(AU35:AZ35)</f>
        <v>0</v>
      </c>
      <c r="AU35" s="37"/>
      <c r="AV35" s="37"/>
      <c r="AW35" s="37"/>
      <c r="AX35" s="37"/>
      <c r="AY35" s="37"/>
      <c r="AZ35" s="13"/>
    </row>
    <row r="36" spans="1:52" ht="43.5" customHeight="1" thickBot="1">
      <c r="A36" s="78"/>
      <c r="B36" s="79" t="s">
        <v>26</v>
      </c>
      <c r="C36" s="80"/>
      <c r="D36" s="75">
        <f t="shared" si="24"/>
        <v>864.861</v>
      </c>
      <c r="E36" s="81"/>
      <c r="F36" s="81"/>
      <c r="G36" s="81"/>
      <c r="H36" s="81"/>
      <c r="I36" s="34">
        <v>864.861</v>
      </c>
      <c r="J36" s="96"/>
      <c r="K36" s="82">
        <f t="shared" si="26"/>
        <v>26.77420995975076</v>
      </c>
      <c r="L36" s="83"/>
      <c r="M36" s="83"/>
      <c r="N36" s="83"/>
      <c r="O36" s="83"/>
      <c r="P36" s="84">
        <v>26.77</v>
      </c>
      <c r="Q36" s="84"/>
      <c r="R36" s="14">
        <f t="shared" si="25"/>
        <v>23155.97</v>
      </c>
      <c r="S36" s="83"/>
      <c r="T36" s="83"/>
      <c r="U36" s="83"/>
      <c r="V36" s="83"/>
      <c r="W36" s="83">
        <v>23155.97</v>
      </c>
      <c r="X36" s="84"/>
      <c r="Y36" s="87">
        <f>SUM(Z36:AD36)</f>
        <v>864.8609543355567</v>
      </c>
      <c r="Z36" s="99"/>
      <c r="AA36" s="99"/>
      <c r="AB36" s="99"/>
      <c r="AC36" s="99"/>
      <c r="AD36" s="99">
        <f>AR36/AK36</f>
        <v>864.8609543355567</v>
      </c>
      <c r="AE36" s="99"/>
      <c r="AF36" s="85">
        <f t="shared" si="22"/>
        <v>19.49</v>
      </c>
      <c r="AG36" s="84"/>
      <c r="AH36" s="84"/>
      <c r="AI36" s="84"/>
      <c r="AJ36" s="84"/>
      <c r="AK36" s="84">
        <v>19.49</v>
      </c>
      <c r="AL36" s="84"/>
      <c r="AM36" s="86">
        <f>SUM(AN36:AR36)</f>
        <v>16856.14</v>
      </c>
      <c r="AN36" s="83"/>
      <c r="AO36" s="83"/>
      <c r="AP36" s="83"/>
      <c r="AQ36" s="83"/>
      <c r="AR36" s="83">
        <v>16856.14</v>
      </c>
      <c r="AS36" s="84"/>
      <c r="AT36" s="14">
        <f>SUM(AU36:AZ36)</f>
        <v>6296.188080000001</v>
      </c>
      <c r="AU36" s="36"/>
      <c r="AV36" s="36"/>
      <c r="AW36" s="36"/>
      <c r="AX36" s="36"/>
      <c r="AY36" s="37">
        <f>(P36-AK36)*I36</f>
        <v>6296.188080000001</v>
      </c>
      <c r="AZ36" s="50"/>
    </row>
    <row r="37" spans="1:65" s="29" customFormat="1" ht="36.75" customHeight="1" thickBot="1">
      <c r="A37" s="23">
        <v>4</v>
      </c>
      <c r="B37" s="24" t="s">
        <v>3</v>
      </c>
      <c r="C37" s="24" t="s">
        <v>5</v>
      </c>
      <c r="D37" s="59">
        <f aca="true" t="shared" si="27" ref="D37:J37">SUM(D38:D45)</f>
        <v>93593.946</v>
      </c>
      <c r="E37" s="27">
        <f t="shared" si="27"/>
        <v>10838.15</v>
      </c>
      <c r="F37" s="27">
        <f t="shared" si="27"/>
        <v>38712.316</v>
      </c>
      <c r="G37" s="27">
        <f t="shared" si="27"/>
        <v>21752.01</v>
      </c>
      <c r="H37" s="27">
        <f t="shared" si="27"/>
        <v>10459.33</v>
      </c>
      <c r="I37" s="27">
        <f t="shared" si="27"/>
        <v>11832.14</v>
      </c>
      <c r="J37" s="27">
        <f t="shared" si="27"/>
        <v>0</v>
      </c>
      <c r="K37" s="28">
        <f t="shared" si="26"/>
        <v>25.23444016346955</v>
      </c>
      <c r="L37" s="28">
        <f>S37/E37</f>
        <v>23.112841213675768</v>
      </c>
      <c r="M37" s="28">
        <f>T37/F37</f>
        <v>33.46359334326574</v>
      </c>
      <c r="N37" s="28">
        <f>U37/G37</f>
        <v>19.16627566831755</v>
      </c>
      <c r="O37" s="28">
        <f>V37/H37</f>
        <v>16.723401020906692</v>
      </c>
      <c r="P37" s="28">
        <f>W37/I37</f>
        <v>18.93288957027216</v>
      </c>
      <c r="Q37" s="28"/>
      <c r="R37" s="27">
        <f aca="true" t="shared" si="28" ref="R37:AE37">SUM(R38:R45)</f>
        <v>2361790.83</v>
      </c>
      <c r="S37" s="61">
        <f t="shared" si="28"/>
        <v>250500.44</v>
      </c>
      <c r="T37" s="61">
        <f t="shared" si="28"/>
        <v>1295453.2</v>
      </c>
      <c r="U37" s="61">
        <f t="shared" si="28"/>
        <v>416905.02</v>
      </c>
      <c r="V37" s="61">
        <f t="shared" si="28"/>
        <v>174915.57</v>
      </c>
      <c r="W37" s="61">
        <f t="shared" si="28"/>
        <v>224016.6</v>
      </c>
      <c r="X37" s="61">
        <f t="shared" si="28"/>
        <v>0</v>
      </c>
      <c r="Y37" s="59">
        <f t="shared" si="28"/>
        <v>93753.06757020795</v>
      </c>
      <c r="Z37" s="59">
        <f t="shared" si="28"/>
        <v>9404.930994152046</v>
      </c>
      <c r="AA37" s="59">
        <f t="shared" si="28"/>
        <v>38734.607</v>
      </c>
      <c r="AB37" s="59">
        <f t="shared" si="28"/>
        <v>22110.9289110285</v>
      </c>
      <c r="AC37" s="59">
        <f t="shared" si="28"/>
        <v>11302.51330443261</v>
      </c>
      <c r="AD37" s="59">
        <f t="shared" si="28"/>
        <v>12200.087360594795</v>
      </c>
      <c r="AE37" s="59">
        <f t="shared" si="28"/>
        <v>0</v>
      </c>
      <c r="AF37" s="86">
        <f t="shared" si="22"/>
        <v>16.668483928056435</v>
      </c>
      <c r="AG37" s="101">
        <f>AN37/Z37</f>
        <v>17.1</v>
      </c>
      <c r="AH37" s="101">
        <f>AO37/AA37</f>
        <v>17.37997341756946</v>
      </c>
      <c r="AI37" s="101">
        <f>AP37/AB37</f>
        <v>16.41032547569807</v>
      </c>
      <c r="AJ37" s="101">
        <f>AQ37/AC37</f>
        <v>14.946568559556368</v>
      </c>
      <c r="AK37" s="27">
        <f>AR37/AD37</f>
        <v>16.14</v>
      </c>
      <c r="AL37" s="27"/>
      <c r="AM37" s="27">
        <f aca="true" t="shared" si="29" ref="AM37:AZ37">SUM(AM38:AM45)</f>
        <v>1562721.5</v>
      </c>
      <c r="AN37" s="27">
        <f t="shared" si="29"/>
        <v>160824.32</v>
      </c>
      <c r="AO37" s="27">
        <f t="shared" si="29"/>
        <v>673206.44</v>
      </c>
      <c r="AP37" s="27">
        <f t="shared" si="29"/>
        <v>362847.54</v>
      </c>
      <c r="AQ37" s="27">
        <f t="shared" si="29"/>
        <v>168933.79</v>
      </c>
      <c r="AR37" s="27">
        <f t="shared" si="29"/>
        <v>196909.40999999997</v>
      </c>
      <c r="AS37" s="27">
        <f t="shared" si="29"/>
        <v>0</v>
      </c>
      <c r="AT37" s="118">
        <f t="shared" si="29"/>
        <v>799461.5973400001</v>
      </c>
      <c r="AU37" s="27">
        <f t="shared" si="29"/>
        <v>65116.88849999999</v>
      </c>
      <c r="AV37" s="27">
        <f t="shared" si="29"/>
        <v>622543.4690400001</v>
      </c>
      <c r="AW37" s="27">
        <f t="shared" si="29"/>
        <v>59811.281299999995</v>
      </c>
      <c r="AX37" s="27">
        <f t="shared" si="29"/>
        <v>18962.3083</v>
      </c>
      <c r="AY37" s="27">
        <f t="shared" si="29"/>
        <v>33027.650200000004</v>
      </c>
      <c r="AZ37" s="27">
        <f t="shared" si="29"/>
        <v>0</v>
      </c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</row>
    <row r="38" spans="1:52" s="4" customFormat="1" ht="56.25" customHeight="1">
      <c r="A38" s="123"/>
      <c r="B38" s="124" t="s">
        <v>39</v>
      </c>
      <c r="C38" s="72"/>
      <c r="D38" s="100">
        <f>SUM(E38:I38)</f>
        <v>14297.886</v>
      </c>
      <c r="E38" s="37"/>
      <c r="F38" s="128">
        <v>14297.886</v>
      </c>
      <c r="G38" s="37"/>
      <c r="H38" s="37"/>
      <c r="I38" s="37"/>
      <c r="J38" s="37"/>
      <c r="K38" s="63">
        <f>R38/D38</f>
        <v>40.219998956489086</v>
      </c>
      <c r="L38" s="73"/>
      <c r="M38" s="73">
        <v>40.22</v>
      </c>
      <c r="N38" s="73"/>
      <c r="O38" s="73"/>
      <c r="P38" s="73"/>
      <c r="Q38" s="37"/>
      <c r="R38" s="15">
        <f>SUM(S38:W38)</f>
        <v>575060.96</v>
      </c>
      <c r="S38" s="13"/>
      <c r="T38" s="13">
        <v>575060.96</v>
      </c>
      <c r="U38" s="13"/>
      <c r="V38" s="13"/>
      <c r="W38" s="13"/>
      <c r="X38" s="13"/>
      <c r="Y38" s="67">
        <f>SUM(Z38:AD38)</f>
        <v>14315.212</v>
      </c>
      <c r="Z38" s="97"/>
      <c r="AA38" s="97">
        <f>ROUND(AO38/AH38,3)</f>
        <v>14315.212</v>
      </c>
      <c r="AB38" s="97"/>
      <c r="AC38" s="97"/>
      <c r="AD38" s="97"/>
      <c r="AE38" s="97"/>
      <c r="AF38" s="14">
        <f>AM38/Y38</f>
        <v>17.38000038001533</v>
      </c>
      <c r="AG38" s="37"/>
      <c r="AH38" s="37">
        <v>17.38</v>
      </c>
      <c r="AI38" s="13"/>
      <c r="AJ38" s="13"/>
      <c r="AK38" s="13"/>
      <c r="AL38" s="37"/>
      <c r="AM38" s="15">
        <f>SUM(AN38:AR38)</f>
        <v>248798.38999999998</v>
      </c>
      <c r="AN38" s="13"/>
      <c r="AO38" s="13">
        <f>13984.06+234814.33</f>
        <v>248798.38999999998</v>
      </c>
      <c r="AP38" s="13"/>
      <c r="AQ38" s="13"/>
      <c r="AR38" s="13"/>
      <c r="AS38" s="13"/>
      <c r="AT38" s="15">
        <f>SUM(AU38:AY38)</f>
        <v>326563.71624</v>
      </c>
      <c r="AU38" s="37"/>
      <c r="AV38" s="37">
        <f>(M38-AH38)*F38</f>
        <v>326563.71624</v>
      </c>
      <c r="AW38" s="37"/>
      <c r="AX38" s="37"/>
      <c r="AY38" s="37"/>
      <c r="AZ38" s="13"/>
    </row>
    <row r="39" spans="1:52" ht="45.75" customHeight="1">
      <c r="A39" s="38"/>
      <c r="B39" s="39" t="s">
        <v>24</v>
      </c>
      <c r="C39" s="40"/>
      <c r="D39" s="14">
        <f>SUM(E39:I39)</f>
        <v>674.62</v>
      </c>
      <c r="E39" s="13"/>
      <c r="F39" s="13"/>
      <c r="G39" s="125">
        <v>674.62</v>
      </c>
      <c r="H39" s="13"/>
      <c r="I39" s="13"/>
      <c r="J39" s="13"/>
      <c r="K39" s="14">
        <f>R39/D39</f>
        <v>27.741810204263142</v>
      </c>
      <c r="L39" s="13"/>
      <c r="M39" s="13"/>
      <c r="N39" s="13">
        <v>27.74</v>
      </c>
      <c r="O39" s="13"/>
      <c r="P39" s="13"/>
      <c r="Q39" s="13"/>
      <c r="R39" s="14">
        <f>SUM(S39:W39)</f>
        <v>18715.18</v>
      </c>
      <c r="S39" s="13"/>
      <c r="T39" s="13"/>
      <c r="U39" s="13">
        <v>18715.18</v>
      </c>
      <c r="V39" s="13"/>
      <c r="W39" s="13"/>
      <c r="X39" s="13"/>
      <c r="Y39" s="64">
        <f>SUM(Z39:AD39)</f>
        <v>770.1216000000001</v>
      </c>
      <c r="Z39" s="65">
        <f>AN39/AG39</f>
        <v>95.49999999999999</v>
      </c>
      <c r="AA39" s="65"/>
      <c r="AB39" s="65">
        <f>AP39/AI39</f>
        <v>674.6216000000001</v>
      </c>
      <c r="AC39" s="65"/>
      <c r="AD39" s="65"/>
      <c r="AE39" s="97"/>
      <c r="AF39" s="14">
        <f>AM39/Y39</f>
        <v>24.02034951363525</v>
      </c>
      <c r="AG39" s="127">
        <v>17.1</v>
      </c>
      <c r="AH39" s="13"/>
      <c r="AI39" s="127">
        <v>25</v>
      </c>
      <c r="AJ39" s="13"/>
      <c r="AK39" s="13"/>
      <c r="AL39" s="13"/>
      <c r="AM39" s="14">
        <f>SUM(AN39:AR39)</f>
        <v>18498.59</v>
      </c>
      <c r="AN39" s="13">
        <v>1633.05</v>
      </c>
      <c r="AO39" s="13"/>
      <c r="AP39" s="13">
        <f>7222.56+9642.98</f>
        <v>16865.54</v>
      </c>
      <c r="AQ39" s="13"/>
      <c r="AR39" s="13"/>
      <c r="AS39" s="13"/>
      <c r="AT39" s="15">
        <f>SUM(AU39:AY39)</f>
        <v>1848.458799999999</v>
      </c>
      <c r="AU39" s="37"/>
      <c r="AV39" s="37"/>
      <c r="AW39" s="37">
        <f>(N39-AI39)*G39</f>
        <v>1848.458799999999</v>
      </c>
      <c r="AX39" s="37"/>
      <c r="AY39" s="37"/>
      <c r="AZ39" s="13"/>
    </row>
    <row r="40" spans="1:52" ht="46.5" customHeight="1">
      <c r="A40" s="9"/>
      <c r="B40" s="43" t="s">
        <v>25</v>
      </c>
      <c r="C40" s="10"/>
      <c r="D40" s="15">
        <f aca="true" t="shared" si="30" ref="D40:D45">SUM(E40:I40)</f>
        <v>45340.21</v>
      </c>
      <c r="E40" s="34">
        <v>5730.15</v>
      </c>
      <c r="F40" s="34">
        <v>1342.3</v>
      </c>
      <c r="G40" s="34">
        <v>21077.39</v>
      </c>
      <c r="H40" s="34">
        <v>6645.77</v>
      </c>
      <c r="I40" s="34">
        <v>10544.6</v>
      </c>
      <c r="J40" s="96"/>
      <c r="K40" s="120">
        <f t="shared" si="26"/>
        <v>18.891800015924055</v>
      </c>
      <c r="L40" s="37">
        <v>18.89</v>
      </c>
      <c r="M40" s="37">
        <v>18.89</v>
      </c>
      <c r="N40" s="37">
        <v>18.89</v>
      </c>
      <c r="O40" s="37">
        <v>18.89</v>
      </c>
      <c r="P40" s="37">
        <v>18.89</v>
      </c>
      <c r="Q40" s="37"/>
      <c r="R40" s="15">
        <f aca="true" t="shared" si="31" ref="R40:R45">SUM(S40:W40)</f>
        <v>856558.1799999999</v>
      </c>
      <c r="S40" s="37">
        <v>108252.85</v>
      </c>
      <c r="T40" s="37">
        <v>25358.46</v>
      </c>
      <c r="U40" s="37">
        <v>398189.84</v>
      </c>
      <c r="V40" s="37">
        <v>125550.56</v>
      </c>
      <c r="W40" s="37">
        <v>199206.47</v>
      </c>
      <c r="X40" s="37"/>
      <c r="Y40" s="67">
        <f aca="true" t="shared" si="32" ref="Y40:Y45">SUM(Z40:AD40)</f>
        <v>44525.171421030886</v>
      </c>
      <c r="Z40" s="97">
        <f>AN40/AG40</f>
        <v>4201.2602339181285</v>
      </c>
      <c r="AA40" s="97">
        <f>ROUND(AO40/AH40,3)</f>
        <v>1347.304</v>
      </c>
      <c r="AB40" s="97">
        <f>AP40/AI40</f>
        <v>21436.3073110285</v>
      </c>
      <c r="AC40" s="97">
        <f>AQ40/AJ40</f>
        <v>6627.752168525402</v>
      </c>
      <c r="AD40" s="97">
        <f>AR40/AK40</f>
        <v>10912.547707558859</v>
      </c>
      <c r="AE40" s="97"/>
      <c r="AF40" s="15">
        <f t="shared" si="22"/>
        <v>16.268104465014307</v>
      </c>
      <c r="AG40" s="37">
        <v>17.1</v>
      </c>
      <c r="AH40" s="37">
        <v>17.38</v>
      </c>
      <c r="AI40" s="37">
        <v>16.14</v>
      </c>
      <c r="AJ40" s="37">
        <v>16.14</v>
      </c>
      <c r="AK40" s="37">
        <v>16.14</v>
      </c>
      <c r="AL40" s="37"/>
      <c r="AM40" s="15">
        <f aca="true" t="shared" si="33" ref="AM40:AM45">SUM(AN40:AR40)</f>
        <v>724340.14</v>
      </c>
      <c r="AN40" s="37">
        <f>71841.55</f>
        <v>71841.55</v>
      </c>
      <c r="AO40" s="37">
        <f>6966.5+86.9+16362.75</f>
        <v>23416.15</v>
      </c>
      <c r="AP40" s="37">
        <f>46330.28+74869.12+80779.56+144003.04</f>
        <v>345982</v>
      </c>
      <c r="AQ40" s="37">
        <f>106971.92</f>
        <v>106971.92</v>
      </c>
      <c r="AR40" s="37">
        <f>58640.48+117488.04</f>
        <v>176128.52</v>
      </c>
      <c r="AS40" s="37"/>
      <c r="AT40" s="15">
        <f aca="true" t="shared" si="34" ref="AT40:AT45">SUM(AU40:AY40)</f>
        <v>117520.18149999998</v>
      </c>
      <c r="AU40" s="37">
        <f>(L40-AG40)*E40</f>
        <v>10256.968499999994</v>
      </c>
      <c r="AV40" s="37">
        <f>(M40-AH40)*F40</f>
        <v>2026.873000000002</v>
      </c>
      <c r="AW40" s="37">
        <f>(N40-AI40)*G40</f>
        <v>57962.822499999995</v>
      </c>
      <c r="AX40" s="37">
        <f>(O40-AJ40)*H40</f>
        <v>18275.8675</v>
      </c>
      <c r="AY40" s="37">
        <f>(P40-AK40)*I40</f>
        <v>28997.65</v>
      </c>
      <c r="AZ40" s="37"/>
    </row>
    <row r="41" spans="1:52" ht="47.25" customHeight="1">
      <c r="A41" s="38"/>
      <c r="B41" s="43" t="s">
        <v>29</v>
      </c>
      <c r="C41" s="10"/>
      <c r="D41" s="15">
        <f t="shared" si="30"/>
        <v>3813.56</v>
      </c>
      <c r="E41" s="13"/>
      <c r="F41" s="13"/>
      <c r="G41" s="13"/>
      <c r="H41" s="65">
        <v>3813.56</v>
      </c>
      <c r="I41" s="13"/>
      <c r="J41" s="13"/>
      <c r="K41" s="14">
        <f t="shared" si="26"/>
        <v>12.944600320959944</v>
      </c>
      <c r="L41" s="37"/>
      <c r="M41" s="37"/>
      <c r="N41" s="37"/>
      <c r="O41" s="37">
        <v>12.94</v>
      </c>
      <c r="P41" s="37"/>
      <c r="Q41" s="37"/>
      <c r="R41" s="15">
        <f t="shared" si="31"/>
        <v>49365.01</v>
      </c>
      <c r="S41" s="13"/>
      <c r="T41" s="13"/>
      <c r="U41" s="13"/>
      <c r="V41" s="13">
        <v>49365.01</v>
      </c>
      <c r="W41" s="13"/>
      <c r="X41" s="37"/>
      <c r="Y41" s="67">
        <f t="shared" si="32"/>
        <v>3990.761755485894</v>
      </c>
      <c r="Z41" s="97"/>
      <c r="AA41" s="65"/>
      <c r="AB41" s="97"/>
      <c r="AC41" s="97">
        <f>AQ41/AJ41</f>
        <v>3990.761755485894</v>
      </c>
      <c r="AD41" s="97"/>
      <c r="AE41" s="97"/>
      <c r="AF41" s="14">
        <f t="shared" si="22"/>
        <v>12.76</v>
      </c>
      <c r="AG41" s="37"/>
      <c r="AH41" s="37"/>
      <c r="AI41" s="13"/>
      <c r="AJ41" s="13">
        <v>12.76</v>
      </c>
      <c r="AK41" s="13"/>
      <c r="AL41" s="37"/>
      <c r="AM41" s="15">
        <f t="shared" si="33"/>
        <v>50922.12</v>
      </c>
      <c r="AN41" s="13"/>
      <c r="AO41" s="13"/>
      <c r="AP41" s="13"/>
      <c r="AQ41" s="13">
        <f>12688.16+26579.24+11654.72</f>
        <v>50922.12</v>
      </c>
      <c r="AR41" s="13"/>
      <c r="AS41" s="37"/>
      <c r="AT41" s="15">
        <f t="shared" si="34"/>
        <v>686.440799999999</v>
      </c>
      <c r="AU41" s="37"/>
      <c r="AV41" s="37"/>
      <c r="AW41" s="37"/>
      <c r="AX41" s="37">
        <f>(O41-AJ41)*H41</f>
        <v>686.440799999999</v>
      </c>
      <c r="AY41" s="37"/>
      <c r="AZ41" s="13"/>
    </row>
    <row r="42" spans="1:52" s="4" customFormat="1" ht="39.75" customHeight="1">
      <c r="A42" s="66"/>
      <c r="B42" s="39" t="s">
        <v>44</v>
      </c>
      <c r="C42" s="39"/>
      <c r="D42" s="15">
        <f>SUM(E42:I42)</f>
        <v>0</v>
      </c>
      <c r="E42" s="37"/>
      <c r="F42" s="37"/>
      <c r="G42" s="37"/>
      <c r="H42" s="37">
        <f>V42/O42</f>
        <v>0</v>
      </c>
      <c r="I42" s="37"/>
      <c r="J42" s="37"/>
      <c r="K42" s="14" t="e">
        <f>R42/D42</f>
        <v>#DIV/0!</v>
      </c>
      <c r="L42" s="13"/>
      <c r="M42" s="37"/>
      <c r="N42" s="13"/>
      <c r="O42" s="37">
        <v>22.4</v>
      </c>
      <c r="P42" s="37"/>
      <c r="Q42" s="37"/>
      <c r="R42" s="15">
        <f>SUM(S42:W42)</f>
        <v>0</v>
      </c>
      <c r="S42" s="13"/>
      <c r="T42" s="13"/>
      <c r="U42" s="13"/>
      <c r="V42" s="13"/>
      <c r="W42" s="13"/>
      <c r="X42" s="37"/>
      <c r="Y42" s="67">
        <f>SUM(Z42:AD42)</f>
        <v>683.9993804213135</v>
      </c>
      <c r="Z42" s="97"/>
      <c r="AA42" s="97"/>
      <c r="AB42" s="97"/>
      <c r="AC42" s="97">
        <f>AQ42/AJ42</f>
        <v>683.9993804213135</v>
      </c>
      <c r="AD42" s="97"/>
      <c r="AE42" s="97"/>
      <c r="AF42" s="14">
        <f>AM42/Y42</f>
        <v>16.14</v>
      </c>
      <c r="AG42" s="37"/>
      <c r="AH42" s="37"/>
      <c r="AI42" s="13"/>
      <c r="AJ42" s="13">
        <v>16.14</v>
      </c>
      <c r="AK42" s="13"/>
      <c r="AL42" s="37"/>
      <c r="AM42" s="15">
        <f>SUM(AN42:AR42)</f>
        <v>11039.75</v>
      </c>
      <c r="AN42" s="13"/>
      <c r="AO42" s="13"/>
      <c r="AP42" s="13"/>
      <c r="AQ42" s="13">
        <f>3767.05+7272.7</f>
        <v>11039.75</v>
      </c>
      <c r="AR42" s="13"/>
      <c r="AS42" s="37"/>
      <c r="AT42" s="15">
        <f>SUM(AU42:AY42)</f>
        <v>0</v>
      </c>
      <c r="AU42" s="37"/>
      <c r="AV42" s="37"/>
      <c r="AW42" s="37"/>
      <c r="AX42" s="37"/>
      <c r="AY42" s="37"/>
      <c r="AZ42" s="13"/>
    </row>
    <row r="43" spans="1:52" ht="43.5" customHeight="1">
      <c r="A43" s="66"/>
      <c r="B43" s="39" t="s">
        <v>26</v>
      </c>
      <c r="C43" s="39"/>
      <c r="D43" s="64">
        <f>SUM(E43:I43)</f>
        <v>1287.54</v>
      </c>
      <c r="E43" s="125"/>
      <c r="F43" s="125"/>
      <c r="G43" s="125"/>
      <c r="H43" s="125"/>
      <c r="I43" s="37">
        <v>1287.54</v>
      </c>
      <c r="J43" s="13"/>
      <c r="K43" s="126">
        <f>R43/D43</f>
        <v>19.269405222362025</v>
      </c>
      <c r="L43" s="13"/>
      <c r="M43" s="13"/>
      <c r="N43" s="13"/>
      <c r="O43" s="13"/>
      <c r="P43" s="13">
        <v>19.27</v>
      </c>
      <c r="Q43" s="13"/>
      <c r="R43" s="14">
        <f>SUM(S43:W43)</f>
        <v>24810.13</v>
      </c>
      <c r="S43" s="13"/>
      <c r="T43" s="13"/>
      <c r="U43" s="13"/>
      <c r="V43" s="13"/>
      <c r="W43" s="13">
        <v>24810.13</v>
      </c>
      <c r="X43" s="13"/>
      <c r="Y43" s="64">
        <f>SUM(Z43:AD43)</f>
        <v>1287.5396530359355</v>
      </c>
      <c r="Z43" s="65"/>
      <c r="AA43" s="65"/>
      <c r="AB43" s="65"/>
      <c r="AC43" s="65"/>
      <c r="AD43" s="65">
        <f>AR43/AK43</f>
        <v>1287.5396530359355</v>
      </c>
      <c r="AE43" s="65"/>
      <c r="AF43" s="14">
        <f>AM43/Y43</f>
        <v>16.14</v>
      </c>
      <c r="AG43" s="13"/>
      <c r="AH43" s="13"/>
      <c r="AI43" s="13"/>
      <c r="AJ43" s="13"/>
      <c r="AK43" s="13">
        <v>16.14</v>
      </c>
      <c r="AL43" s="13"/>
      <c r="AM43" s="14">
        <f>SUM(AN43:AR43)</f>
        <v>20780.89</v>
      </c>
      <c r="AN43" s="13"/>
      <c r="AO43" s="13"/>
      <c r="AP43" s="13"/>
      <c r="AQ43" s="13"/>
      <c r="AR43" s="13">
        <f>8119.79+12661.1</f>
        <v>20780.89</v>
      </c>
      <c r="AS43" s="13"/>
      <c r="AT43" s="14">
        <f>SUM(AU43:AY43)</f>
        <v>4030.0001999999986</v>
      </c>
      <c r="AU43" s="37"/>
      <c r="AV43" s="37"/>
      <c r="AW43" s="37"/>
      <c r="AX43" s="37"/>
      <c r="AY43" s="37">
        <f>(P43-AK43)*I43</f>
        <v>4030.0001999999986</v>
      </c>
      <c r="AZ43" s="13"/>
    </row>
    <row r="44" spans="1:52" ht="81.75" customHeight="1">
      <c r="A44" s="9"/>
      <c r="B44" s="43" t="s">
        <v>27</v>
      </c>
      <c r="C44" s="10"/>
      <c r="D44" s="15">
        <f t="shared" si="30"/>
        <v>10160.130000000001</v>
      </c>
      <c r="E44" s="97">
        <v>5108</v>
      </c>
      <c r="F44" s="97">
        <v>5052.13</v>
      </c>
      <c r="G44" s="37"/>
      <c r="H44" s="37"/>
      <c r="I44" s="37"/>
      <c r="J44" s="37"/>
      <c r="K44" s="15">
        <f t="shared" si="26"/>
        <v>27.848001944857003</v>
      </c>
      <c r="L44" s="37">
        <v>27.84</v>
      </c>
      <c r="M44" s="37">
        <v>27.84</v>
      </c>
      <c r="N44" s="37"/>
      <c r="O44" s="37"/>
      <c r="P44" s="37"/>
      <c r="Q44" s="37"/>
      <c r="R44" s="15">
        <f t="shared" si="31"/>
        <v>282939.32</v>
      </c>
      <c r="S44" s="37">
        <v>142247.59</v>
      </c>
      <c r="T44" s="37">
        <v>140691.73</v>
      </c>
      <c r="U44" s="37"/>
      <c r="V44" s="37"/>
      <c r="W44" s="37"/>
      <c r="X44" s="37"/>
      <c r="Y44" s="67">
        <f t="shared" si="32"/>
        <v>10160.261760233918</v>
      </c>
      <c r="Z44" s="97">
        <f>AN44/AG44</f>
        <v>5108.1707602339175</v>
      </c>
      <c r="AA44" s="97">
        <f>ROUND(AO44/AH44,3)</f>
        <v>5052.091</v>
      </c>
      <c r="AB44" s="97"/>
      <c r="AC44" s="97"/>
      <c r="AD44" s="97"/>
      <c r="AE44" s="97"/>
      <c r="AF44" s="15">
        <f t="shared" si="22"/>
        <v>17.239227111799078</v>
      </c>
      <c r="AG44" s="37">
        <v>17.1</v>
      </c>
      <c r="AH44" s="37">
        <v>17.38</v>
      </c>
      <c r="AI44" s="37"/>
      <c r="AJ44" s="37"/>
      <c r="AK44" s="37"/>
      <c r="AL44" s="37"/>
      <c r="AM44" s="15">
        <f>SUM(AN44:AS44)</f>
        <v>175155.06</v>
      </c>
      <c r="AN44" s="37">
        <f>10260.53+77089.19</f>
        <v>87349.72</v>
      </c>
      <c r="AO44" s="37">
        <f>31762.74+56042.6</f>
        <v>87805.34</v>
      </c>
      <c r="AP44" s="37"/>
      <c r="AQ44" s="37"/>
      <c r="AR44" s="37"/>
      <c r="AS44" s="37"/>
      <c r="AT44" s="15">
        <f t="shared" si="34"/>
        <v>107705.1998</v>
      </c>
      <c r="AU44" s="37">
        <f>(L44-AG44)*E44</f>
        <v>54859.91999999999</v>
      </c>
      <c r="AV44" s="37">
        <f>(M44-AH44)*F44</f>
        <v>52845.279800000004</v>
      </c>
      <c r="AW44" s="37"/>
      <c r="AX44" s="37"/>
      <c r="AY44" s="37"/>
      <c r="AZ44" s="13"/>
    </row>
    <row r="45" spans="1:52" ht="81.75" customHeight="1" thickBot="1">
      <c r="A45" s="38"/>
      <c r="B45" s="39" t="s">
        <v>28</v>
      </c>
      <c r="C45" s="40"/>
      <c r="D45" s="15">
        <f t="shared" si="30"/>
        <v>18020</v>
      </c>
      <c r="E45" s="13"/>
      <c r="F45" s="65">
        <v>18020</v>
      </c>
      <c r="G45" s="37"/>
      <c r="H45" s="37"/>
      <c r="I45" s="37"/>
      <c r="J45" s="37"/>
      <c r="K45" s="14">
        <f t="shared" si="26"/>
        <v>30.76259988901221</v>
      </c>
      <c r="L45" s="13"/>
      <c r="M45" s="37">
        <v>30.76</v>
      </c>
      <c r="N45" s="37"/>
      <c r="O45" s="37"/>
      <c r="P45" s="37"/>
      <c r="Q45" s="37"/>
      <c r="R45" s="15">
        <f t="shared" si="31"/>
        <v>554342.05</v>
      </c>
      <c r="S45" s="13"/>
      <c r="T45" s="13">
        <v>554342.05</v>
      </c>
      <c r="U45" s="13"/>
      <c r="V45" s="13"/>
      <c r="W45" s="13"/>
      <c r="X45" s="37"/>
      <c r="Y45" s="67">
        <f t="shared" si="32"/>
        <v>18020</v>
      </c>
      <c r="Z45" s="97"/>
      <c r="AA45" s="97">
        <f>ROUND(AO45/AH45,0)</f>
        <v>18020</v>
      </c>
      <c r="AB45" s="97" t="s">
        <v>34</v>
      </c>
      <c r="AC45" s="97"/>
      <c r="AD45" s="97"/>
      <c r="AE45" s="97"/>
      <c r="AF45" s="14">
        <f t="shared" si="22"/>
        <v>17.379942286348502</v>
      </c>
      <c r="AG45" s="37"/>
      <c r="AH45" s="37">
        <v>17.38</v>
      </c>
      <c r="AI45" s="13"/>
      <c r="AJ45" s="13"/>
      <c r="AK45" s="13"/>
      <c r="AL45" s="37"/>
      <c r="AM45" s="15">
        <f t="shared" si="33"/>
        <v>313186.56</v>
      </c>
      <c r="AN45" s="13"/>
      <c r="AO45" s="13">
        <f>110893.19+202293.37</f>
        <v>313186.56</v>
      </c>
      <c r="AP45" s="13"/>
      <c r="AQ45" s="13"/>
      <c r="AR45" s="13"/>
      <c r="AS45" s="37"/>
      <c r="AT45" s="15">
        <f t="shared" si="34"/>
        <v>241107.60000000003</v>
      </c>
      <c r="AU45" s="37"/>
      <c r="AV45" s="37">
        <f>(M45-AH45)*F45</f>
        <v>241107.60000000003</v>
      </c>
      <c r="AW45" s="37"/>
      <c r="AX45" s="37"/>
      <c r="AY45" s="37"/>
      <c r="AZ45" s="13"/>
    </row>
    <row r="46" spans="1:65" s="91" customFormat="1" ht="27.75" customHeight="1" thickBot="1">
      <c r="A46" s="88"/>
      <c r="B46" s="89" t="s">
        <v>46</v>
      </c>
      <c r="C46" s="89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>
        <f aca="true" t="shared" si="35" ref="R46:X46">R37+R27+R19+R7</f>
        <v>43100489.92</v>
      </c>
      <c r="S46" s="90">
        <f t="shared" si="35"/>
        <v>3454629.6</v>
      </c>
      <c r="T46" s="90">
        <f t="shared" si="35"/>
        <v>15009311.920000002</v>
      </c>
      <c r="U46" s="90">
        <f t="shared" si="35"/>
        <v>8465135.65</v>
      </c>
      <c r="V46" s="90">
        <f t="shared" si="35"/>
        <v>7588132.180000001</v>
      </c>
      <c r="W46" s="90">
        <f t="shared" si="35"/>
        <v>8177824.47</v>
      </c>
      <c r="X46" s="90">
        <f t="shared" si="35"/>
        <v>405456.1</v>
      </c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>
        <f aca="true" t="shared" si="36" ref="AM46:AZ46">AM37+AM27+AM19+AM7</f>
        <v>21883883.57</v>
      </c>
      <c r="AN46" s="90">
        <f t="shared" si="36"/>
        <v>1744571.3199999998</v>
      </c>
      <c r="AO46" s="90">
        <f t="shared" si="36"/>
        <v>10185598.58</v>
      </c>
      <c r="AP46" s="90">
        <f t="shared" si="36"/>
        <v>4261687.53</v>
      </c>
      <c r="AQ46" s="90">
        <f t="shared" si="36"/>
        <v>3027893.26</v>
      </c>
      <c r="AR46" s="90">
        <f t="shared" si="36"/>
        <v>2348331.09</v>
      </c>
      <c r="AS46" s="90">
        <f t="shared" si="36"/>
        <v>315801.79000000004</v>
      </c>
      <c r="AT46" s="90">
        <f t="shared" si="36"/>
        <v>19150011.6080611</v>
      </c>
      <c r="AU46" s="90">
        <f t="shared" si="36"/>
        <v>1747294.329293</v>
      </c>
      <c r="AV46" s="90">
        <f t="shared" si="36"/>
        <v>4886684.498579099</v>
      </c>
      <c r="AW46" s="90">
        <f t="shared" si="36"/>
        <v>4300367.844594001</v>
      </c>
      <c r="AX46" s="90">
        <f t="shared" si="36"/>
        <v>3893197.303082</v>
      </c>
      <c r="AY46" s="90">
        <f t="shared" si="36"/>
        <v>4232816.117793</v>
      </c>
      <c r="AZ46" s="90">
        <f t="shared" si="36"/>
        <v>89651.51472000005</v>
      </c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</row>
    <row r="47" spans="5:25" ht="25.5" customHeight="1">
      <c r="E47" s="6"/>
      <c r="Y47" s="6"/>
    </row>
    <row r="48" spans="2:57" ht="55.5" customHeight="1">
      <c r="B48" s="208"/>
      <c r="C48" s="208"/>
      <c r="D48" s="208"/>
      <c r="E48" s="208"/>
      <c r="U48" s="208"/>
      <c r="V48" s="208"/>
      <c r="W48" s="94"/>
      <c r="X48" s="94"/>
      <c r="Y48" s="94"/>
      <c r="Z48" s="94"/>
      <c r="AT48" s="213" t="s">
        <v>19</v>
      </c>
      <c r="AU48" s="213"/>
      <c r="AV48" s="213"/>
      <c r="AW48" s="213"/>
      <c r="AY48" s="214" t="s">
        <v>45</v>
      </c>
      <c r="AZ48" s="214"/>
      <c r="BA48" s="208"/>
      <c r="BB48" s="208"/>
      <c r="BC48" s="208"/>
      <c r="BD48" s="208"/>
      <c r="BE48" s="208"/>
    </row>
    <row r="49" spans="5:26" ht="55.5" customHeight="1">
      <c r="E49" s="6"/>
      <c r="Y49" s="6"/>
      <c r="Z49" s="6"/>
    </row>
    <row r="50" spans="5:54" ht="26.25">
      <c r="E50" s="6"/>
      <c r="Y50" s="6"/>
      <c r="Z50" s="6"/>
      <c r="AT50" s="6"/>
      <c r="AV50" s="93"/>
      <c r="BA50" s="6"/>
      <c r="BB50" s="6"/>
    </row>
    <row r="51" spans="5:26" ht="26.25">
      <c r="E51" s="6"/>
      <c r="Y51" s="6"/>
      <c r="Z51" s="6"/>
    </row>
    <row r="52" spans="5:26" ht="26.25">
      <c r="E52" s="6"/>
      <c r="Y52" s="6"/>
      <c r="Z52" s="6"/>
    </row>
    <row r="53" spans="5:26" ht="26.25">
      <c r="E53" s="6"/>
      <c r="Y53" s="6"/>
      <c r="Z53" s="6"/>
    </row>
    <row r="54" spans="5:26" ht="26.25">
      <c r="E54" s="6"/>
      <c r="Y54" s="6"/>
      <c r="Z54" s="6"/>
    </row>
    <row r="55" spans="5:26" ht="26.25">
      <c r="E55" s="6"/>
      <c r="Y55" s="6"/>
      <c r="Z55" s="6"/>
    </row>
    <row r="56" spans="5:26" ht="26.25">
      <c r="E56" s="6"/>
      <c r="Y56" s="6"/>
      <c r="Z56" s="6"/>
    </row>
    <row r="57" spans="5:26" ht="26.25">
      <c r="E57" s="6"/>
      <c r="Y57" s="6"/>
      <c r="Z57" s="6"/>
    </row>
    <row r="58" spans="5:26" ht="26.25">
      <c r="E58" s="6"/>
      <c r="Y58" s="6"/>
      <c r="Z58" s="6"/>
    </row>
    <row r="59" spans="5:26" ht="26.25">
      <c r="E59" s="6"/>
      <c r="Y59" s="6"/>
      <c r="Z59" s="6"/>
    </row>
    <row r="60" spans="5:26" ht="26.25">
      <c r="E60" s="6"/>
      <c r="Y60" s="6"/>
      <c r="Z60" s="6"/>
    </row>
    <row r="61" spans="5:26" ht="26.25">
      <c r="E61" s="6"/>
      <c r="Y61" s="6"/>
      <c r="Z61" s="6"/>
    </row>
    <row r="62" spans="5:26" ht="26.25">
      <c r="E62" s="6"/>
      <c r="Y62" s="6"/>
      <c r="Z62" s="6"/>
    </row>
    <row r="63" spans="5:26" ht="26.25">
      <c r="E63" s="6"/>
      <c r="Y63" s="6"/>
      <c r="Z63" s="6"/>
    </row>
    <row r="64" spans="5:26" ht="26.25">
      <c r="E64" s="6"/>
      <c r="Y64" s="6"/>
      <c r="Z64" s="6"/>
    </row>
    <row r="65" spans="5:26" ht="26.25">
      <c r="E65" s="6"/>
      <c r="Y65" s="6"/>
      <c r="Z65" s="6"/>
    </row>
    <row r="66" spans="5:26" ht="26.25">
      <c r="E66" s="6"/>
      <c r="Y66" s="6"/>
      <c r="Z66" s="6"/>
    </row>
    <row r="67" spans="5:26" ht="26.25">
      <c r="E67" s="6"/>
      <c r="Y67" s="6"/>
      <c r="Z67" s="6"/>
    </row>
    <row r="68" spans="5:26" ht="26.25">
      <c r="E68" s="6"/>
      <c r="Y68" s="6"/>
      <c r="Z68" s="6"/>
    </row>
    <row r="69" spans="5:26" ht="26.25">
      <c r="E69" s="6"/>
      <c r="Y69" s="6"/>
      <c r="Z69" s="6"/>
    </row>
    <row r="70" spans="5:26" ht="26.25">
      <c r="E70" s="6"/>
      <c r="Y70" s="6"/>
      <c r="Z70" s="6"/>
    </row>
    <row r="71" spans="5:26" ht="26.25">
      <c r="E71" s="6"/>
      <c r="Y71" s="6"/>
      <c r="Z71" s="6"/>
    </row>
    <row r="72" spans="5:26" ht="26.25">
      <c r="E72" s="6"/>
      <c r="Y72" s="6"/>
      <c r="Z72" s="6"/>
    </row>
    <row r="73" spans="5:26" ht="26.25">
      <c r="E73" s="6"/>
      <c r="Y73" s="6"/>
      <c r="Z73" s="6"/>
    </row>
    <row r="74" spans="5:26" ht="26.25">
      <c r="E74" s="6"/>
      <c r="Y74" s="6"/>
      <c r="Z74" s="6"/>
    </row>
    <row r="75" spans="5:26" ht="26.25">
      <c r="E75" s="6"/>
      <c r="Y75" s="6"/>
      <c r="Z75" s="6"/>
    </row>
    <row r="76" spans="5:26" ht="26.25">
      <c r="E76" s="6"/>
      <c r="Y76" s="6"/>
      <c r="Z76" s="6"/>
    </row>
    <row r="77" spans="5:26" ht="26.25">
      <c r="E77" s="6"/>
      <c r="Y77" s="6"/>
      <c r="Z77" s="6"/>
    </row>
    <row r="78" spans="5:26" ht="26.25">
      <c r="E78" s="6"/>
      <c r="Y78" s="6"/>
      <c r="Z78" s="6"/>
    </row>
    <row r="79" spans="5:26" ht="26.25">
      <c r="E79" s="6"/>
      <c r="Y79" s="6"/>
      <c r="Z79" s="6"/>
    </row>
    <row r="80" spans="5:26" ht="26.25">
      <c r="E80" s="6"/>
      <c r="Y80" s="6"/>
      <c r="Z80" s="6"/>
    </row>
    <row r="81" spans="5:26" ht="26.25">
      <c r="E81" s="6"/>
      <c r="Y81" s="6"/>
      <c r="Z81" s="6"/>
    </row>
    <row r="82" spans="5:26" ht="26.25">
      <c r="E82" s="6"/>
      <c r="Y82" s="6"/>
      <c r="Z82" s="6"/>
    </row>
    <row r="83" spans="5:26" ht="26.25">
      <c r="E83" s="6"/>
      <c r="Y83" s="6"/>
      <c r="Z83" s="6"/>
    </row>
    <row r="84" spans="5:26" ht="26.25">
      <c r="E84" s="6"/>
      <c r="Y84" s="6"/>
      <c r="Z84" s="6"/>
    </row>
    <row r="85" spans="5:26" ht="26.25">
      <c r="E85" s="6"/>
      <c r="Y85" s="6"/>
      <c r="Z85" s="6"/>
    </row>
    <row r="86" spans="5:26" ht="26.25">
      <c r="E86" s="6"/>
      <c r="Y86" s="6"/>
      <c r="Z86" s="6"/>
    </row>
    <row r="87" spans="5:26" ht="26.25">
      <c r="E87" s="6"/>
      <c r="Y87" s="6"/>
      <c r="Z87" s="6"/>
    </row>
    <row r="88" spans="5:26" ht="26.25">
      <c r="E88" s="6"/>
      <c r="Y88" s="6"/>
      <c r="Z88" s="6"/>
    </row>
    <row r="89" spans="5:26" ht="26.25">
      <c r="E89" s="6"/>
      <c r="Y89" s="6"/>
      <c r="Z89" s="6"/>
    </row>
    <row r="90" spans="25:26" ht="26.25">
      <c r="Y90" s="6"/>
      <c r="Z90" s="6"/>
    </row>
    <row r="91" spans="25:26" ht="26.25">
      <c r="Y91" s="6"/>
      <c r="Z91" s="6"/>
    </row>
    <row r="92" spans="25:26" ht="26.25">
      <c r="Y92" s="6"/>
      <c r="Z92" s="6"/>
    </row>
    <row r="93" spans="25:26" ht="26.25">
      <c r="Y93" s="6"/>
      <c r="Z93" s="6"/>
    </row>
    <row r="94" spans="25:26" ht="26.25">
      <c r="Y94" s="6"/>
      <c r="Z94" s="6"/>
    </row>
    <row r="95" spans="25:26" ht="26.25">
      <c r="Y95" s="6"/>
      <c r="Z95" s="6"/>
    </row>
    <row r="96" spans="25:26" ht="26.25">
      <c r="Y96" s="6"/>
      <c r="Z96" s="6"/>
    </row>
    <row r="97" spans="25:26" ht="26.25">
      <c r="Y97" s="6"/>
      <c r="Z97" s="6"/>
    </row>
    <row r="98" spans="25:26" ht="26.25">
      <c r="Y98" s="6"/>
      <c r="Z98" s="6"/>
    </row>
    <row r="99" spans="25:26" ht="26.25">
      <c r="Y99" s="6"/>
      <c r="Z99" s="6"/>
    </row>
    <row r="100" spans="25:26" ht="26.25">
      <c r="Y100" s="6"/>
      <c r="Z100" s="6"/>
    </row>
    <row r="101" spans="25:26" ht="26.25">
      <c r="Y101" s="6"/>
      <c r="Z101" s="6"/>
    </row>
    <row r="102" spans="25:26" ht="26.25">
      <c r="Y102" s="6"/>
      <c r="Z102" s="6"/>
    </row>
    <row r="103" spans="25:26" ht="26.25">
      <c r="Y103" s="6"/>
      <c r="Z103" s="6"/>
    </row>
    <row r="104" spans="25:26" ht="26.25">
      <c r="Y104" s="6"/>
      <c r="Z104" s="6"/>
    </row>
    <row r="105" spans="25:26" ht="26.25">
      <c r="Y105" s="6"/>
      <c r="Z105" s="6"/>
    </row>
    <row r="106" spans="25:26" ht="26.25">
      <c r="Y106" s="6"/>
      <c r="Z106" s="6"/>
    </row>
    <row r="107" spans="25:26" ht="26.25">
      <c r="Y107" s="6"/>
      <c r="Z107" s="6"/>
    </row>
    <row r="108" spans="25:26" ht="26.25">
      <c r="Y108" s="6"/>
      <c r="Z108" s="6"/>
    </row>
    <row r="109" spans="25:26" ht="26.25">
      <c r="Y109" s="6"/>
      <c r="Z109" s="6"/>
    </row>
    <row r="110" spans="25:26" ht="26.25">
      <c r="Y110" s="6"/>
      <c r="Z110" s="6"/>
    </row>
    <row r="111" spans="25:26" ht="26.25">
      <c r="Y111" s="6"/>
      <c r="Z111" s="6"/>
    </row>
    <row r="112" spans="25:26" ht="26.25">
      <c r="Y112" s="6"/>
      <c r="Z112" s="6"/>
    </row>
    <row r="113" spans="25:26" ht="26.25">
      <c r="Y113" s="6"/>
      <c r="Z113" s="6"/>
    </row>
    <row r="114" spans="25:26" ht="26.25">
      <c r="Y114" s="6"/>
      <c r="Z114" s="6"/>
    </row>
    <row r="115" spans="25:26" ht="26.25">
      <c r="Y115" s="6"/>
      <c r="Z115" s="6"/>
    </row>
    <row r="116" spans="25:26" ht="26.25">
      <c r="Y116" s="6"/>
      <c r="Z116" s="6"/>
    </row>
    <row r="117" spans="25:26" ht="26.25">
      <c r="Y117" s="6"/>
      <c r="Z117" s="6"/>
    </row>
    <row r="118" spans="25:26" ht="26.25">
      <c r="Y118" s="6"/>
      <c r="Z118" s="6"/>
    </row>
    <row r="119" spans="25:26" ht="26.25">
      <c r="Y119" s="6"/>
      <c r="Z119" s="6"/>
    </row>
    <row r="120" spans="25:26" ht="26.25">
      <c r="Y120" s="6"/>
      <c r="Z120" s="6"/>
    </row>
    <row r="121" spans="25:26" ht="26.25">
      <c r="Y121" s="6"/>
      <c r="Z121" s="6"/>
    </row>
    <row r="122" spans="25:26" ht="26.25">
      <c r="Y122" s="6"/>
      <c r="Z122" s="6"/>
    </row>
    <row r="123" spans="25:26" ht="26.25">
      <c r="Y123" s="6"/>
      <c r="Z123" s="6"/>
    </row>
    <row r="124" spans="25:26" ht="26.25">
      <c r="Y124" s="6"/>
      <c r="Z124" s="6"/>
    </row>
    <row r="125" spans="25:26" ht="26.25">
      <c r="Y125" s="6"/>
      <c r="Z125" s="6"/>
    </row>
    <row r="126" spans="25:26" ht="26.25">
      <c r="Y126" s="6"/>
      <c r="Z126" s="6"/>
    </row>
    <row r="127" spans="25:26" ht="26.25">
      <c r="Y127" s="6"/>
      <c r="Z127" s="6"/>
    </row>
    <row r="128" spans="25:26" ht="26.25">
      <c r="Y128" s="6"/>
      <c r="Z128" s="6"/>
    </row>
    <row r="129" spans="25:26" ht="26.25">
      <c r="Y129" s="6"/>
      <c r="Z129" s="6"/>
    </row>
    <row r="130" spans="25:26" ht="26.25">
      <c r="Y130" s="6"/>
      <c r="Z130" s="6"/>
    </row>
    <row r="131" spans="25:26" ht="26.25">
      <c r="Y131" s="6"/>
      <c r="Z131" s="6"/>
    </row>
    <row r="132" spans="25:26" ht="26.25">
      <c r="Y132" s="6"/>
      <c r="Z132" s="6"/>
    </row>
    <row r="133" spans="25:26" ht="26.25">
      <c r="Y133" s="6"/>
      <c r="Z133" s="6"/>
    </row>
    <row r="134" spans="25:26" ht="26.25">
      <c r="Y134" s="6"/>
      <c r="Z134" s="6"/>
    </row>
    <row r="135" spans="25:26" ht="26.25">
      <c r="Y135" s="6"/>
      <c r="Z135" s="6"/>
    </row>
    <row r="136" spans="25:26" ht="26.25">
      <c r="Y136" s="6"/>
      <c r="Z136" s="6"/>
    </row>
    <row r="137" spans="25:26" ht="26.25">
      <c r="Y137" s="6"/>
      <c r="Z137" s="6"/>
    </row>
    <row r="138" spans="25:26" ht="26.25">
      <c r="Y138" s="6"/>
      <c r="Z138" s="6"/>
    </row>
    <row r="139" spans="25:26" ht="26.25">
      <c r="Y139" s="6"/>
      <c r="Z139" s="6"/>
    </row>
    <row r="140" spans="25:26" ht="26.25">
      <c r="Y140" s="6"/>
      <c r="Z140" s="6"/>
    </row>
    <row r="141" spans="25:26" ht="26.25">
      <c r="Y141" s="6"/>
      <c r="Z141" s="6"/>
    </row>
    <row r="142" spans="25:26" ht="26.25">
      <c r="Y142" s="6"/>
      <c r="Z142" s="6"/>
    </row>
    <row r="143" spans="25:26" ht="26.25">
      <c r="Y143" s="6"/>
      <c r="Z143" s="6"/>
    </row>
    <row r="144" spans="25:26" ht="26.25">
      <c r="Y144" s="6"/>
      <c r="Z144" s="6"/>
    </row>
    <row r="145" spans="25:26" ht="26.25">
      <c r="Y145" s="6"/>
      <c r="Z145" s="6"/>
    </row>
    <row r="146" spans="25:26" ht="26.25">
      <c r="Y146" s="6"/>
      <c r="Z146" s="6"/>
    </row>
    <row r="147" spans="25:26" ht="26.25">
      <c r="Y147" s="6"/>
      <c r="Z147" s="6"/>
    </row>
    <row r="148" spans="25:26" ht="26.25">
      <c r="Y148" s="6"/>
      <c r="Z148" s="6"/>
    </row>
    <row r="149" spans="25:26" ht="26.25">
      <c r="Y149" s="6"/>
      <c r="Z149" s="6"/>
    </row>
    <row r="150" spans="25:26" ht="26.25">
      <c r="Y150" s="6"/>
      <c r="Z150" s="6"/>
    </row>
    <row r="151" spans="25:26" ht="26.25">
      <c r="Y151" s="6"/>
      <c r="Z151" s="6"/>
    </row>
    <row r="152" spans="25:26" ht="26.25">
      <c r="Y152" s="6"/>
      <c r="Z152" s="6"/>
    </row>
    <row r="153" spans="25:26" ht="26.25">
      <c r="Y153" s="6"/>
      <c r="Z153" s="6"/>
    </row>
    <row r="154" spans="25:26" ht="26.25">
      <c r="Y154" s="6"/>
      <c r="Z154" s="6"/>
    </row>
    <row r="155" spans="25:26" ht="26.25">
      <c r="Y155" s="6"/>
      <c r="Z155" s="6"/>
    </row>
    <row r="156" spans="25:26" ht="26.25">
      <c r="Y156" s="6"/>
      <c r="Z156" s="6"/>
    </row>
    <row r="157" spans="25:26" ht="26.25">
      <c r="Y157" s="6"/>
      <c r="Z157" s="6"/>
    </row>
    <row r="158" spans="25:26" ht="26.25">
      <c r="Y158" s="6"/>
      <c r="Z158" s="6"/>
    </row>
    <row r="159" spans="25:26" ht="26.25">
      <c r="Y159" s="6"/>
      <c r="Z159" s="6"/>
    </row>
    <row r="160" spans="25:26" ht="26.25">
      <c r="Y160" s="6"/>
      <c r="Z160" s="6"/>
    </row>
    <row r="161" spans="25:26" ht="26.25">
      <c r="Y161" s="6"/>
      <c r="Z161" s="6"/>
    </row>
    <row r="162" spans="25:26" ht="26.25">
      <c r="Y162" s="6"/>
      <c r="Z162" s="6"/>
    </row>
    <row r="163" spans="25:26" ht="26.25">
      <c r="Y163" s="6"/>
      <c r="Z163" s="6"/>
    </row>
    <row r="164" spans="25:26" ht="26.25">
      <c r="Y164" s="6"/>
      <c r="Z164" s="6"/>
    </row>
    <row r="165" spans="25:26" ht="26.25">
      <c r="Y165" s="6"/>
      <c r="Z165" s="6"/>
    </row>
    <row r="166" spans="25:26" ht="26.25">
      <c r="Y166" s="6"/>
      <c r="Z166" s="6"/>
    </row>
    <row r="167" spans="25:26" ht="26.25">
      <c r="Y167" s="6"/>
      <c r="Z167" s="6"/>
    </row>
    <row r="168" spans="25:26" ht="26.25">
      <c r="Y168" s="6"/>
      <c r="Z168" s="6"/>
    </row>
    <row r="169" spans="25:26" ht="26.25">
      <c r="Y169" s="6"/>
      <c r="Z169" s="6"/>
    </row>
    <row r="170" spans="25:26" ht="26.25">
      <c r="Y170" s="6"/>
      <c r="Z170" s="6"/>
    </row>
    <row r="171" spans="25:26" ht="26.25">
      <c r="Y171" s="6"/>
      <c r="Z171" s="6"/>
    </row>
    <row r="172" spans="25:26" ht="26.25">
      <c r="Y172" s="6"/>
      <c r="Z172" s="6"/>
    </row>
    <row r="173" spans="25:26" ht="26.25">
      <c r="Y173" s="6"/>
      <c r="Z173" s="6"/>
    </row>
    <row r="174" spans="25:26" ht="26.25">
      <c r="Y174" s="6"/>
      <c r="Z174" s="6"/>
    </row>
    <row r="175" spans="25:26" ht="26.25">
      <c r="Y175" s="6"/>
      <c r="Z175" s="6"/>
    </row>
    <row r="176" spans="25:26" ht="26.25">
      <c r="Y176" s="6"/>
      <c r="Z176" s="6"/>
    </row>
    <row r="177" spans="25:26" ht="26.25">
      <c r="Y177" s="6"/>
      <c r="Z177" s="6"/>
    </row>
    <row r="178" spans="25:26" ht="26.25">
      <c r="Y178" s="6"/>
      <c r="Z178" s="6"/>
    </row>
    <row r="179" spans="25:26" ht="26.25">
      <c r="Y179" s="6"/>
      <c r="Z179" s="6"/>
    </row>
    <row r="180" spans="25:26" ht="26.25">
      <c r="Y180" s="6"/>
      <c r="Z180" s="6"/>
    </row>
    <row r="181" spans="25:26" ht="26.25">
      <c r="Y181" s="6"/>
      <c r="Z181" s="6"/>
    </row>
    <row r="182" spans="25:26" ht="26.25">
      <c r="Y182" s="6"/>
      <c r="Z182" s="6"/>
    </row>
    <row r="183" spans="25:26" ht="26.25">
      <c r="Y183" s="6"/>
      <c r="Z183" s="6"/>
    </row>
    <row r="184" spans="25:26" ht="26.25">
      <c r="Y184" s="6"/>
      <c r="Z184" s="6"/>
    </row>
    <row r="185" spans="25:26" ht="26.25">
      <c r="Y185" s="6"/>
      <c r="Z185" s="6"/>
    </row>
    <row r="186" spans="25:26" ht="26.25">
      <c r="Y186" s="6"/>
      <c r="Z186" s="6"/>
    </row>
    <row r="187" spans="25:26" ht="26.25">
      <c r="Y187" s="6"/>
      <c r="Z187" s="6"/>
    </row>
    <row r="188" spans="25:26" ht="26.25">
      <c r="Y188" s="6"/>
      <c r="Z188" s="6"/>
    </row>
    <row r="189" spans="25:26" ht="26.25">
      <c r="Y189" s="6"/>
      <c r="Z189" s="6"/>
    </row>
    <row r="190" spans="25:26" ht="26.25">
      <c r="Y190" s="6"/>
      <c r="Z190" s="6"/>
    </row>
    <row r="191" spans="25:26" ht="26.25">
      <c r="Y191" s="6"/>
      <c r="Z191" s="6"/>
    </row>
    <row r="192" spans="25:26" ht="26.25">
      <c r="Y192" s="6"/>
      <c r="Z192" s="6"/>
    </row>
    <row r="193" spans="25:26" ht="26.25">
      <c r="Y193" s="6"/>
      <c r="Z193" s="6"/>
    </row>
    <row r="194" spans="25:26" ht="26.25">
      <c r="Y194" s="6"/>
      <c r="Z194" s="6"/>
    </row>
    <row r="195" spans="25:26" ht="26.25">
      <c r="Y195" s="6"/>
      <c r="Z195" s="6"/>
    </row>
    <row r="196" spans="25:26" ht="26.25">
      <c r="Y196" s="6"/>
      <c r="Z196" s="6"/>
    </row>
    <row r="197" spans="25:26" ht="26.25">
      <c r="Y197" s="6"/>
      <c r="Z197" s="6"/>
    </row>
    <row r="198" spans="25:26" ht="26.25">
      <c r="Y198" s="6"/>
      <c r="Z198" s="6"/>
    </row>
    <row r="199" spans="25:26" ht="26.25">
      <c r="Y199" s="6"/>
      <c r="Z199" s="6"/>
    </row>
    <row r="200" spans="25:26" ht="26.25">
      <c r="Y200" s="6"/>
      <c r="Z200" s="6"/>
    </row>
    <row r="201" spans="25:26" ht="26.25">
      <c r="Y201" s="6"/>
      <c r="Z201" s="6"/>
    </row>
    <row r="202" spans="25:26" ht="26.25">
      <c r="Y202" s="6"/>
      <c r="Z202" s="6"/>
    </row>
    <row r="203" spans="25:26" ht="26.25">
      <c r="Y203" s="6"/>
      <c r="Z203" s="6"/>
    </row>
    <row r="204" spans="25:26" ht="26.25">
      <c r="Y204" s="6"/>
      <c r="Z204" s="6"/>
    </row>
    <row r="205" spans="25:26" ht="26.25">
      <c r="Y205" s="6"/>
      <c r="Z205" s="6"/>
    </row>
    <row r="206" spans="25:26" ht="26.25">
      <c r="Y206" s="6"/>
      <c r="Z206" s="6"/>
    </row>
    <row r="207" spans="25:26" ht="26.25">
      <c r="Y207" s="6"/>
      <c r="Z207" s="6"/>
    </row>
    <row r="208" spans="25:26" ht="26.25">
      <c r="Y208" s="6"/>
      <c r="Z208" s="6"/>
    </row>
    <row r="209" spans="25:26" ht="26.25">
      <c r="Y209" s="6"/>
      <c r="Z209" s="6"/>
    </row>
    <row r="210" spans="25:26" ht="26.25">
      <c r="Y210" s="6"/>
      <c r="Z210" s="6"/>
    </row>
    <row r="211" spans="25:26" ht="26.25">
      <c r="Y211" s="6"/>
      <c r="Z211" s="6"/>
    </row>
    <row r="212" spans="25:26" ht="26.25">
      <c r="Y212" s="6"/>
      <c r="Z212" s="6"/>
    </row>
    <row r="213" spans="25:26" ht="26.25">
      <c r="Y213" s="6"/>
      <c r="Z213" s="6"/>
    </row>
    <row r="214" spans="25:26" ht="26.25">
      <c r="Y214" s="6"/>
      <c r="Z214" s="6"/>
    </row>
    <row r="215" spans="25:26" ht="26.25">
      <c r="Y215" s="6"/>
      <c r="Z215" s="6"/>
    </row>
    <row r="216" spans="25:26" ht="26.25">
      <c r="Y216" s="6"/>
      <c r="Z216" s="6"/>
    </row>
    <row r="217" spans="25:26" ht="26.25">
      <c r="Y217" s="6"/>
      <c r="Z217" s="6"/>
    </row>
    <row r="218" spans="25:26" ht="26.25">
      <c r="Y218" s="6"/>
      <c r="Z218" s="6"/>
    </row>
    <row r="219" spans="25:26" ht="26.25">
      <c r="Y219" s="6"/>
      <c r="Z219" s="6"/>
    </row>
    <row r="220" spans="25:26" ht="26.25">
      <c r="Y220" s="6"/>
      <c r="Z220" s="6"/>
    </row>
    <row r="221" spans="25:26" ht="26.25">
      <c r="Y221" s="6"/>
      <c r="Z221" s="6"/>
    </row>
    <row r="222" spans="25:26" ht="26.25">
      <c r="Y222" s="6"/>
      <c r="Z222" s="6"/>
    </row>
    <row r="223" spans="25:26" ht="26.25">
      <c r="Y223" s="6"/>
      <c r="Z223" s="6"/>
    </row>
    <row r="224" spans="25:26" ht="26.25">
      <c r="Y224" s="6"/>
      <c r="Z224" s="6"/>
    </row>
    <row r="225" spans="25:26" ht="26.25">
      <c r="Y225" s="6"/>
      <c r="Z225" s="6"/>
    </row>
    <row r="226" spans="25:26" ht="26.25">
      <c r="Y226" s="6"/>
      <c r="Z226" s="6"/>
    </row>
    <row r="227" spans="25:26" ht="26.25">
      <c r="Y227" s="6"/>
      <c r="Z227" s="6"/>
    </row>
    <row r="228" spans="25:26" ht="26.25">
      <c r="Y228" s="6"/>
      <c r="Z228" s="6"/>
    </row>
    <row r="229" spans="25:26" ht="26.25">
      <c r="Y229" s="6"/>
      <c r="Z229" s="6"/>
    </row>
    <row r="230" spans="25:26" ht="26.25">
      <c r="Y230" s="6"/>
      <c r="Z230" s="6"/>
    </row>
    <row r="231" spans="25:26" ht="26.25">
      <c r="Y231" s="6"/>
      <c r="Z231" s="6"/>
    </row>
    <row r="232" spans="25:26" ht="26.25">
      <c r="Y232" s="6"/>
      <c r="Z232" s="6"/>
    </row>
    <row r="233" spans="25:26" ht="26.25">
      <c r="Y233" s="6"/>
      <c r="Z233" s="6"/>
    </row>
    <row r="234" spans="25:26" ht="26.25">
      <c r="Y234" s="6"/>
      <c r="Z234" s="6"/>
    </row>
    <row r="235" spans="25:26" ht="26.25">
      <c r="Y235" s="6"/>
      <c r="Z235" s="6"/>
    </row>
    <row r="236" spans="25:26" ht="26.25">
      <c r="Y236" s="6"/>
      <c r="Z236" s="6"/>
    </row>
    <row r="237" spans="25:26" ht="26.25">
      <c r="Y237" s="6"/>
      <c r="Z237" s="6"/>
    </row>
    <row r="238" spans="25:26" ht="26.25">
      <c r="Y238" s="6"/>
      <c r="Z238" s="6"/>
    </row>
    <row r="239" spans="25:26" ht="26.25">
      <c r="Y239" s="6"/>
      <c r="Z239" s="6"/>
    </row>
    <row r="240" spans="25:26" ht="26.25">
      <c r="Y240" s="6"/>
      <c r="Z240" s="6"/>
    </row>
    <row r="241" spans="25:26" ht="26.25">
      <c r="Y241" s="6"/>
      <c r="Z241" s="6"/>
    </row>
    <row r="242" spans="25:26" ht="26.25">
      <c r="Y242" s="6"/>
      <c r="Z242" s="6"/>
    </row>
    <row r="243" spans="25:26" ht="26.25">
      <c r="Y243" s="6"/>
      <c r="Z243" s="6"/>
    </row>
    <row r="244" spans="25:26" ht="26.25">
      <c r="Y244" s="6"/>
      <c r="Z244" s="6"/>
    </row>
    <row r="245" spans="25:26" ht="26.25">
      <c r="Y245" s="6"/>
      <c r="Z245" s="6"/>
    </row>
    <row r="246" spans="25:26" ht="26.25">
      <c r="Y246" s="6"/>
      <c r="Z246" s="6"/>
    </row>
    <row r="247" spans="25:26" ht="26.25">
      <c r="Y247" s="6"/>
      <c r="Z247" s="6"/>
    </row>
    <row r="248" spans="25:26" ht="26.25">
      <c r="Y248" s="6"/>
      <c r="Z248" s="6"/>
    </row>
    <row r="249" spans="25:26" ht="26.25">
      <c r="Y249" s="6"/>
      <c r="Z249" s="6"/>
    </row>
    <row r="250" spans="25:26" ht="26.25">
      <c r="Y250" s="6"/>
      <c r="Z250" s="6"/>
    </row>
    <row r="251" spans="25:26" ht="26.25">
      <c r="Y251" s="6"/>
      <c r="Z251" s="6"/>
    </row>
    <row r="252" spans="25:26" ht="26.25">
      <c r="Y252" s="6"/>
      <c r="Z252" s="6"/>
    </row>
    <row r="253" spans="25:26" ht="26.25">
      <c r="Y253" s="6"/>
      <c r="Z253" s="6"/>
    </row>
    <row r="254" spans="25:26" ht="26.25">
      <c r="Y254" s="6"/>
      <c r="Z254" s="6"/>
    </row>
    <row r="255" spans="25:26" ht="26.25">
      <c r="Y255" s="6"/>
      <c r="Z255" s="6"/>
    </row>
    <row r="256" spans="25:26" ht="26.25">
      <c r="Y256" s="6"/>
      <c r="Z256" s="6"/>
    </row>
    <row r="257" spans="25:26" ht="26.25">
      <c r="Y257" s="6"/>
      <c r="Z257" s="6"/>
    </row>
    <row r="258" spans="25:26" ht="26.25">
      <c r="Y258" s="6"/>
      <c r="Z258" s="6"/>
    </row>
    <row r="259" spans="25:26" ht="26.25">
      <c r="Y259" s="6"/>
      <c r="Z259" s="6"/>
    </row>
    <row r="260" spans="25:26" ht="26.25">
      <c r="Y260" s="6"/>
      <c r="Z260" s="6"/>
    </row>
    <row r="261" spans="25:26" ht="26.25">
      <c r="Y261" s="6"/>
      <c r="Z261" s="6"/>
    </row>
    <row r="262" spans="25:26" ht="26.25">
      <c r="Y262" s="6"/>
      <c r="Z262" s="6"/>
    </row>
    <row r="263" spans="25:26" ht="26.25">
      <c r="Y263" s="6"/>
      <c r="Z263" s="6"/>
    </row>
    <row r="264" spans="25:26" ht="26.25">
      <c r="Y264" s="6"/>
      <c r="Z264" s="6"/>
    </row>
    <row r="265" spans="25:26" ht="26.25">
      <c r="Y265" s="6"/>
      <c r="Z265" s="6"/>
    </row>
    <row r="266" spans="25:26" ht="26.25">
      <c r="Y266" s="6"/>
      <c r="Z266" s="6"/>
    </row>
    <row r="267" spans="25:26" ht="26.25">
      <c r="Y267" s="6"/>
      <c r="Z267" s="6"/>
    </row>
    <row r="268" spans="25:26" ht="26.25">
      <c r="Y268" s="6"/>
      <c r="Z268" s="6"/>
    </row>
    <row r="269" spans="25:26" ht="26.25">
      <c r="Y269" s="6"/>
      <c r="Z269" s="6"/>
    </row>
    <row r="270" spans="25:26" ht="26.25">
      <c r="Y270" s="6"/>
      <c r="Z270" s="6"/>
    </row>
    <row r="271" spans="25:26" ht="26.25">
      <c r="Y271" s="6"/>
      <c r="Z271" s="6"/>
    </row>
    <row r="272" spans="25:26" ht="26.25">
      <c r="Y272" s="6"/>
      <c r="Z272" s="6"/>
    </row>
    <row r="273" spans="25:26" ht="26.25">
      <c r="Y273" s="6"/>
      <c r="Z273" s="6"/>
    </row>
    <row r="274" spans="25:26" ht="26.25">
      <c r="Y274" s="6"/>
      <c r="Z274" s="6"/>
    </row>
    <row r="275" spans="25:26" ht="26.25">
      <c r="Y275" s="6"/>
      <c r="Z275" s="6"/>
    </row>
    <row r="276" spans="25:26" ht="26.25">
      <c r="Y276" s="6"/>
      <c r="Z276" s="6"/>
    </row>
    <row r="277" spans="25:26" ht="26.25">
      <c r="Y277" s="6"/>
      <c r="Z277" s="6"/>
    </row>
    <row r="278" spans="25:26" ht="26.25">
      <c r="Y278" s="6"/>
      <c r="Z278" s="6"/>
    </row>
    <row r="279" spans="25:26" ht="26.25">
      <c r="Y279" s="6"/>
      <c r="Z279" s="6"/>
    </row>
    <row r="280" spans="25:26" ht="26.25">
      <c r="Y280" s="6"/>
      <c r="Z280" s="6"/>
    </row>
    <row r="281" spans="25:26" ht="26.25">
      <c r="Y281" s="6"/>
      <c r="Z281" s="6"/>
    </row>
    <row r="282" spans="25:26" ht="26.25">
      <c r="Y282" s="6"/>
      <c r="Z282" s="6"/>
    </row>
    <row r="283" spans="25:26" ht="26.25">
      <c r="Y283" s="6"/>
      <c r="Z283" s="6"/>
    </row>
    <row r="284" spans="25:26" ht="26.25">
      <c r="Y284" s="6"/>
      <c r="Z284" s="6"/>
    </row>
    <row r="285" spans="25:26" ht="26.25">
      <c r="Y285" s="6"/>
      <c r="Z285" s="6"/>
    </row>
    <row r="286" spans="25:26" ht="26.25">
      <c r="Y286" s="6"/>
      <c r="Z286" s="6"/>
    </row>
    <row r="287" spans="25:26" ht="26.25">
      <c r="Y287" s="6"/>
      <c r="Z287" s="6"/>
    </row>
    <row r="288" spans="25:26" ht="26.25">
      <c r="Y288" s="6"/>
      <c r="Z288" s="6"/>
    </row>
    <row r="289" spans="25:26" ht="26.25">
      <c r="Y289" s="6"/>
      <c r="Z289" s="6"/>
    </row>
    <row r="290" spans="25:26" ht="26.25">
      <c r="Y290" s="6"/>
      <c r="Z290" s="6"/>
    </row>
    <row r="291" spans="25:26" ht="26.25">
      <c r="Y291" s="6"/>
      <c r="Z291" s="6"/>
    </row>
    <row r="292" spans="25:26" ht="26.25">
      <c r="Y292" s="6"/>
      <c r="Z292" s="6"/>
    </row>
    <row r="293" spans="25:26" ht="26.25">
      <c r="Y293" s="6"/>
      <c r="Z293" s="6"/>
    </row>
    <row r="294" spans="25:26" ht="26.25">
      <c r="Y294" s="6"/>
      <c r="Z294" s="6"/>
    </row>
    <row r="295" spans="25:26" ht="26.25">
      <c r="Y295" s="6"/>
      <c r="Z295" s="6"/>
    </row>
    <row r="296" spans="25:26" ht="26.25">
      <c r="Y296" s="6"/>
      <c r="Z296" s="6"/>
    </row>
    <row r="297" spans="25:26" ht="26.25">
      <c r="Y297" s="6"/>
      <c r="Z297" s="6"/>
    </row>
    <row r="298" spans="25:26" ht="26.25">
      <c r="Y298" s="6"/>
      <c r="Z298" s="6"/>
    </row>
    <row r="299" spans="25:26" ht="26.25">
      <c r="Y299" s="6"/>
      <c r="Z299" s="6"/>
    </row>
    <row r="300" spans="25:26" ht="26.25">
      <c r="Y300" s="6"/>
      <c r="Z300" s="6"/>
    </row>
    <row r="301" spans="25:26" ht="26.25">
      <c r="Y301" s="6"/>
      <c r="Z301" s="6"/>
    </row>
    <row r="302" spans="25:26" ht="26.25">
      <c r="Y302" s="6"/>
      <c r="Z302" s="6"/>
    </row>
    <row r="303" spans="25:26" ht="26.25">
      <c r="Y303" s="6"/>
      <c r="Z303" s="6"/>
    </row>
    <row r="304" spans="25:26" ht="26.25">
      <c r="Y304" s="6"/>
      <c r="Z304" s="6"/>
    </row>
    <row r="305" spans="25:26" ht="26.25">
      <c r="Y305" s="6"/>
      <c r="Z305" s="6"/>
    </row>
    <row r="306" spans="25:26" ht="26.25">
      <c r="Y306" s="6"/>
      <c r="Z306" s="6"/>
    </row>
    <row r="307" spans="25:26" ht="26.25">
      <c r="Y307" s="6"/>
      <c r="Z307" s="6"/>
    </row>
    <row r="308" spans="25:26" ht="26.25">
      <c r="Y308" s="6"/>
      <c r="Z308" s="6"/>
    </row>
    <row r="309" spans="25:26" ht="26.25">
      <c r="Y309" s="6"/>
      <c r="Z309" s="6"/>
    </row>
    <row r="310" spans="25:26" ht="26.25">
      <c r="Y310" s="6"/>
      <c r="Z310" s="6"/>
    </row>
    <row r="311" spans="25:26" ht="26.25">
      <c r="Y311" s="6"/>
      <c r="Z311" s="6"/>
    </row>
    <row r="312" spans="25:26" ht="26.25">
      <c r="Y312" s="6"/>
      <c r="Z312" s="6"/>
    </row>
    <row r="313" spans="25:26" ht="26.25">
      <c r="Y313" s="6"/>
      <c r="Z313" s="6"/>
    </row>
    <row r="314" spans="25:26" ht="26.25">
      <c r="Y314" s="6"/>
      <c r="Z314" s="6"/>
    </row>
    <row r="315" spans="25:26" ht="26.25">
      <c r="Y315" s="6"/>
      <c r="Z315" s="6"/>
    </row>
    <row r="316" spans="25:26" ht="26.25">
      <c r="Y316" s="6"/>
      <c r="Z316" s="6"/>
    </row>
    <row r="317" spans="25:26" ht="26.25">
      <c r="Y317" s="6"/>
      <c r="Z317" s="6"/>
    </row>
    <row r="318" spans="25:26" ht="26.25">
      <c r="Y318" s="6"/>
      <c r="Z318" s="6"/>
    </row>
    <row r="319" spans="25:26" ht="26.25">
      <c r="Y319" s="6"/>
      <c r="Z319" s="6"/>
    </row>
    <row r="320" spans="25:26" ht="26.25">
      <c r="Y320" s="6"/>
      <c r="Z320" s="6"/>
    </row>
    <row r="321" spans="25:26" ht="26.25">
      <c r="Y321" s="6"/>
      <c r="Z321" s="6"/>
    </row>
    <row r="322" spans="25:26" ht="26.25">
      <c r="Y322" s="6"/>
      <c r="Z322" s="6"/>
    </row>
    <row r="323" spans="25:26" ht="26.25">
      <c r="Y323" s="6"/>
      <c r="Z323" s="6"/>
    </row>
    <row r="324" spans="25:26" ht="26.25">
      <c r="Y324" s="6"/>
      <c r="Z324" s="6"/>
    </row>
    <row r="325" spans="25:26" ht="26.25">
      <c r="Y325" s="6"/>
      <c r="Z325" s="6"/>
    </row>
    <row r="326" spans="25:26" ht="26.25">
      <c r="Y326" s="6"/>
      <c r="Z326" s="6"/>
    </row>
    <row r="327" spans="25:26" ht="26.25">
      <c r="Y327" s="6"/>
      <c r="Z327" s="6"/>
    </row>
    <row r="328" spans="25:26" ht="26.25">
      <c r="Y328" s="6"/>
      <c r="Z328" s="6"/>
    </row>
    <row r="329" spans="25:26" ht="26.25">
      <c r="Y329" s="6"/>
      <c r="Z329" s="6"/>
    </row>
    <row r="330" spans="25:26" ht="26.25">
      <c r="Y330" s="6"/>
      <c r="Z330" s="6"/>
    </row>
    <row r="331" spans="25:26" ht="26.25">
      <c r="Y331" s="6"/>
      <c r="Z331" s="6"/>
    </row>
    <row r="332" spans="25:26" ht="26.25">
      <c r="Y332" s="6"/>
      <c r="Z332" s="6"/>
    </row>
    <row r="333" spans="25:26" ht="26.25">
      <c r="Y333" s="6"/>
      <c r="Z333" s="6"/>
    </row>
    <row r="334" spans="25:26" ht="26.25">
      <c r="Y334" s="6"/>
      <c r="Z334" s="6"/>
    </row>
    <row r="335" spans="25:26" ht="26.25">
      <c r="Y335" s="6"/>
      <c r="Z335" s="6"/>
    </row>
    <row r="336" spans="25:26" ht="26.25">
      <c r="Y336" s="6"/>
      <c r="Z336" s="6"/>
    </row>
    <row r="337" spans="25:26" ht="26.25">
      <c r="Y337" s="6"/>
      <c r="Z337" s="6"/>
    </row>
    <row r="338" spans="25:26" ht="26.25">
      <c r="Y338" s="6"/>
      <c r="Z338" s="6"/>
    </row>
    <row r="339" spans="25:26" ht="26.25">
      <c r="Y339" s="6"/>
      <c r="Z339" s="6"/>
    </row>
    <row r="340" spans="25:26" ht="26.25">
      <c r="Y340" s="6"/>
      <c r="Z340" s="6"/>
    </row>
    <row r="341" spans="25:26" ht="26.25">
      <c r="Y341" s="6"/>
      <c r="Z341" s="6"/>
    </row>
    <row r="342" spans="25:26" ht="26.25">
      <c r="Y342" s="6"/>
      <c r="Z342" s="6"/>
    </row>
    <row r="343" spans="25:26" ht="26.25">
      <c r="Y343" s="6"/>
      <c r="Z343" s="6"/>
    </row>
    <row r="344" spans="25:26" ht="26.25">
      <c r="Y344" s="6"/>
      <c r="Z344" s="6"/>
    </row>
    <row r="345" spans="25:26" ht="26.25">
      <c r="Y345" s="6"/>
      <c r="Z345" s="6"/>
    </row>
    <row r="346" spans="25:26" ht="26.25">
      <c r="Y346" s="6"/>
      <c r="Z346" s="6"/>
    </row>
    <row r="347" spans="25:26" ht="26.25">
      <c r="Y347" s="6"/>
      <c r="Z347" s="6"/>
    </row>
    <row r="348" spans="25:26" ht="26.25">
      <c r="Y348" s="6"/>
      <c r="Z348" s="6"/>
    </row>
    <row r="349" spans="25:26" ht="26.25">
      <c r="Y349" s="6"/>
      <c r="Z349" s="6"/>
    </row>
    <row r="350" spans="25:26" ht="26.25">
      <c r="Y350" s="6"/>
      <c r="Z350" s="6"/>
    </row>
    <row r="351" spans="25:26" ht="26.25">
      <c r="Y351" s="6"/>
      <c r="Z351" s="6"/>
    </row>
    <row r="352" spans="25:26" ht="26.25">
      <c r="Y352" s="6"/>
      <c r="Z352" s="6"/>
    </row>
    <row r="353" spans="25:26" ht="26.25">
      <c r="Y353" s="6"/>
      <c r="Z353" s="6"/>
    </row>
    <row r="354" spans="25:26" ht="26.25">
      <c r="Y354" s="6"/>
      <c r="Z354" s="6"/>
    </row>
    <row r="355" spans="25:26" ht="26.25">
      <c r="Y355" s="6"/>
      <c r="Z355" s="6"/>
    </row>
    <row r="356" spans="25:26" ht="26.25">
      <c r="Y356" s="6"/>
      <c r="Z356" s="6"/>
    </row>
    <row r="357" spans="25:26" ht="26.25">
      <c r="Y357" s="6"/>
      <c r="Z357" s="6"/>
    </row>
    <row r="358" spans="25:26" ht="26.25">
      <c r="Y358" s="6"/>
      <c r="Z358" s="6"/>
    </row>
    <row r="359" spans="25:26" ht="26.25">
      <c r="Y359" s="6"/>
      <c r="Z359" s="6"/>
    </row>
    <row r="360" spans="25:26" ht="26.25">
      <c r="Y360" s="6"/>
      <c r="Z360" s="6"/>
    </row>
    <row r="361" spans="25:26" ht="26.25">
      <c r="Y361" s="6"/>
      <c r="Z361" s="6"/>
    </row>
    <row r="362" spans="25:26" ht="26.25">
      <c r="Y362" s="6"/>
      <c r="Z362" s="6"/>
    </row>
    <row r="363" spans="25:26" ht="26.25">
      <c r="Y363" s="6"/>
      <c r="Z363" s="6"/>
    </row>
    <row r="364" spans="25:26" ht="26.25">
      <c r="Y364" s="6"/>
      <c r="Z364" s="6"/>
    </row>
    <row r="365" spans="25:26" ht="26.25">
      <c r="Y365" s="6"/>
      <c r="Z365" s="6"/>
    </row>
    <row r="366" spans="25:26" ht="26.25">
      <c r="Y366" s="6"/>
      <c r="Z366" s="6"/>
    </row>
    <row r="367" spans="25:26" ht="26.25">
      <c r="Y367" s="6"/>
      <c r="Z367" s="6"/>
    </row>
    <row r="368" spans="25:26" ht="26.25">
      <c r="Y368" s="6"/>
      <c r="Z368" s="6"/>
    </row>
    <row r="369" spans="25:26" ht="26.25">
      <c r="Y369" s="6"/>
      <c r="Z369" s="6"/>
    </row>
    <row r="370" spans="25:26" ht="26.25">
      <c r="Y370" s="6"/>
      <c r="Z370" s="6"/>
    </row>
    <row r="371" spans="25:26" ht="26.25">
      <c r="Y371" s="6"/>
      <c r="Z371" s="6"/>
    </row>
    <row r="372" spans="25:26" ht="26.25">
      <c r="Y372" s="6"/>
      <c r="Z372" s="6"/>
    </row>
    <row r="373" spans="25:26" ht="26.25">
      <c r="Y373" s="6"/>
      <c r="Z373" s="6"/>
    </row>
    <row r="374" spans="25:26" ht="26.25">
      <c r="Y374" s="6"/>
      <c r="Z374" s="6"/>
    </row>
    <row r="375" spans="25:26" ht="26.25">
      <c r="Y375" s="6"/>
      <c r="Z375" s="6"/>
    </row>
    <row r="376" spans="25:26" ht="26.25">
      <c r="Y376" s="6"/>
      <c r="Z376" s="6"/>
    </row>
    <row r="377" spans="25:26" ht="26.25">
      <c r="Y377" s="6"/>
      <c r="Z377" s="6"/>
    </row>
    <row r="378" spans="25:26" ht="26.25">
      <c r="Y378" s="6"/>
      <c r="Z378" s="6"/>
    </row>
    <row r="379" spans="25:26" ht="26.25">
      <c r="Y379" s="6"/>
      <c r="Z379" s="6"/>
    </row>
    <row r="380" spans="25:26" ht="26.25">
      <c r="Y380" s="6"/>
      <c r="Z380" s="6"/>
    </row>
    <row r="381" spans="25:26" ht="26.25">
      <c r="Y381" s="6"/>
      <c r="Z381" s="6"/>
    </row>
    <row r="382" spans="25:26" ht="26.25">
      <c r="Y382" s="6"/>
      <c r="Z382" s="6"/>
    </row>
    <row r="383" spans="25:26" ht="26.25">
      <c r="Y383" s="6"/>
      <c r="Z383" s="6"/>
    </row>
    <row r="384" spans="25:26" ht="26.25">
      <c r="Y384" s="6"/>
      <c r="Z384" s="6"/>
    </row>
    <row r="385" spans="25:26" ht="26.25">
      <c r="Y385" s="6"/>
      <c r="Z385" s="6"/>
    </row>
    <row r="386" spans="25:26" ht="26.25">
      <c r="Y386" s="6"/>
      <c r="Z386" s="6"/>
    </row>
    <row r="387" spans="25:26" ht="26.25">
      <c r="Y387" s="6"/>
      <c r="Z387" s="6"/>
    </row>
    <row r="388" spans="25:26" ht="26.25">
      <c r="Y388" s="6"/>
      <c r="Z388" s="6"/>
    </row>
    <row r="389" spans="25:26" ht="26.25">
      <c r="Y389" s="6"/>
      <c r="Z389" s="6"/>
    </row>
    <row r="390" spans="25:26" ht="26.25">
      <c r="Y390" s="6"/>
      <c r="Z390" s="6"/>
    </row>
    <row r="391" spans="25:26" ht="26.25">
      <c r="Y391" s="6"/>
      <c r="Z391" s="6"/>
    </row>
    <row r="392" spans="25:26" ht="26.25">
      <c r="Y392" s="6"/>
      <c r="Z392" s="6"/>
    </row>
    <row r="393" spans="25:26" ht="26.25">
      <c r="Y393" s="6"/>
      <c r="Z393" s="6"/>
    </row>
    <row r="394" spans="25:26" ht="26.25">
      <c r="Y394" s="6"/>
      <c r="Z394" s="6"/>
    </row>
    <row r="395" spans="25:26" ht="26.25">
      <c r="Y395" s="6"/>
      <c r="Z395" s="6"/>
    </row>
    <row r="396" spans="25:26" ht="26.25">
      <c r="Y396" s="6"/>
      <c r="Z396" s="6"/>
    </row>
    <row r="397" spans="25:26" ht="26.25">
      <c r="Y397" s="6"/>
      <c r="Z397" s="6"/>
    </row>
    <row r="398" spans="25:26" ht="26.25">
      <c r="Y398" s="6"/>
      <c r="Z398" s="6"/>
    </row>
    <row r="399" spans="25:26" ht="26.25">
      <c r="Y399" s="6"/>
      <c r="Z399" s="6"/>
    </row>
    <row r="400" spans="25:26" ht="26.25">
      <c r="Y400" s="6"/>
      <c r="Z400" s="6"/>
    </row>
    <row r="401" spans="25:26" ht="26.25">
      <c r="Y401" s="6"/>
      <c r="Z401" s="6"/>
    </row>
    <row r="402" spans="25:26" ht="26.25">
      <c r="Y402" s="6"/>
      <c r="Z402" s="6"/>
    </row>
    <row r="403" spans="25:26" ht="26.25">
      <c r="Y403" s="6"/>
      <c r="Z403" s="6"/>
    </row>
    <row r="404" spans="25:26" ht="26.25">
      <c r="Y404" s="6"/>
      <c r="Z404" s="6"/>
    </row>
    <row r="405" spans="25:26" ht="26.25">
      <c r="Y405" s="6"/>
      <c r="Z405" s="6"/>
    </row>
    <row r="406" spans="25:26" ht="26.25">
      <c r="Y406" s="6"/>
      <c r="Z406" s="6"/>
    </row>
    <row r="407" spans="25:26" ht="26.25">
      <c r="Y407" s="6"/>
      <c r="Z407" s="6"/>
    </row>
    <row r="408" spans="25:26" ht="26.25">
      <c r="Y408" s="6"/>
      <c r="Z408" s="6"/>
    </row>
    <row r="409" spans="25:26" ht="26.25">
      <c r="Y409" s="6"/>
      <c r="Z409" s="6"/>
    </row>
    <row r="410" spans="25:26" ht="26.25">
      <c r="Y410" s="6"/>
      <c r="Z410" s="6"/>
    </row>
    <row r="411" spans="25:26" ht="26.25">
      <c r="Y411" s="6"/>
      <c r="Z411" s="6"/>
    </row>
    <row r="412" spans="25:26" ht="26.25">
      <c r="Y412" s="6"/>
      <c r="Z412" s="6"/>
    </row>
    <row r="413" spans="25:26" ht="26.25">
      <c r="Y413" s="6"/>
      <c r="Z413" s="6"/>
    </row>
    <row r="414" spans="25:26" ht="26.25">
      <c r="Y414" s="6"/>
      <c r="Z414" s="6"/>
    </row>
    <row r="415" spans="25:26" ht="26.25">
      <c r="Y415" s="6"/>
      <c r="Z415" s="6"/>
    </row>
    <row r="416" spans="25:26" ht="26.25">
      <c r="Y416" s="6"/>
      <c r="Z416" s="6"/>
    </row>
    <row r="417" spans="25:26" ht="26.25">
      <c r="Y417" s="6"/>
      <c r="Z417" s="6"/>
    </row>
    <row r="418" spans="25:26" ht="26.25">
      <c r="Y418" s="6"/>
      <c r="Z418" s="6"/>
    </row>
    <row r="419" spans="25:26" ht="26.25">
      <c r="Y419" s="6"/>
      <c r="Z419" s="6"/>
    </row>
    <row r="420" spans="25:26" ht="26.25">
      <c r="Y420" s="6"/>
      <c r="Z420" s="6"/>
    </row>
    <row r="421" spans="25:26" ht="26.25">
      <c r="Y421" s="6"/>
      <c r="Z421" s="6"/>
    </row>
    <row r="422" spans="25:26" ht="26.25">
      <c r="Y422" s="6"/>
      <c r="Z422" s="6"/>
    </row>
    <row r="423" spans="25:26" ht="26.25">
      <c r="Y423" s="6"/>
      <c r="Z423" s="6"/>
    </row>
    <row r="424" spans="25:26" ht="26.25">
      <c r="Y424" s="6"/>
      <c r="Z424" s="6"/>
    </row>
    <row r="425" spans="25:26" ht="26.25">
      <c r="Y425" s="6"/>
      <c r="Z425" s="6"/>
    </row>
    <row r="426" spans="25:26" ht="26.25">
      <c r="Y426" s="6"/>
      <c r="Z426" s="6"/>
    </row>
    <row r="427" spans="25:26" ht="26.25">
      <c r="Y427" s="6"/>
      <c r="Z427" s="6"/>
    </row>
    <row r="428" spans="25:26" ht="26.25">
      <c r="Y428" s="6"/>
      <c r="Z428" s="6"/>
    </row>
    <row r="429" spans="25:26" ht="26.25">
      <c r="Y429" s="6"/>
      <c r="Z429" s="6"/>
    </row>
    <row r="430" spans="25:26" ht="26.25">
      <c r="Y430" s="6"/>
      <c r="Z430" s="6"/>
    </row>
    <row r="431" spans="25:26" ht="26.25">
      <c r="Y431" s="6"/>
      <c r="Z431" s="6"/>
    </row>
    <row r="432" spans="25:26" ht="26.25">
      <c r="Y432" s="6"/>
      <c r="Z432" s="6"/>
    </row>
    <row r="433" spans="25:26" ht="26.25">
      <c r="Y433" s="6"/>
      <c r="Z433" s="6"/>
    </row>
    <row r="434" spans="25:26" ht="26.25">
      <c r="Y434" s="6"/>
      <c r="Z434" s="6"/>
    </row>
    <row r="435" spans="25:26" ht="26.25">
      <c r="Y435" s="6"/>
      <c r="Z435" s="6"/>
    </row>
    <row r="436" spans="25:26" ht="26.25">
      <c r="Y436" s="6"/>
      <c r="Z436" s="6"/>
    </row>
    <row r="437" spans="25:26" ht="26.25">
      <c r="Y437" s="6"/>
      <c r="Z437" s="6"/>
    </row>
    <row r="438" spans="25:26" ht="26.25">
      <c r="Y438" s="6"/>
      <c r="Z438" s="6"/>
    </row>
    <row r="439" spans="25:26" ht="26.25">
      <c r="Y439" s="6"/>
      <c r="Z439" s="6"/>
    </row>
    <row r="440" spans="25:26" ht="26.25">
      <c r="Y440" s="6"/>
      <c r="Z440" s="6"/>
    </row>
    <row r="441" spans="25:26" ht="26.25">
      <c r="Y441" s="6"/>
      <c r="Z441" s="6"/>
    </row>
    <row r="442" spans="25:26" ht="26.25">
      <c r="Y442" s="6"/>
      <c r="Z442" s="6"/>
    </row>
    <row r="443" spans="25:26" ht="26.25">
      <c r="Y443" s="6"/>
      <c r="Z443" s="6"/>
    </row>
    <row r="444" spans="25:26" ht="26.25">
      <c r="Y444" s="6"/>
      <c r="Z444" s="6"/>
    </row>
    <row r="445" spans="25:26" ht="26.25">
      <c r="Y445" s="6"/>
      <c r="Z445" s="6"/>
    </row>
    <row r="446" spans="25:26" ht="26.25">
      <c r="Y446" s="6"/>
      <c r="Z446" s="6"/>
    </row>
    <row r="447" spans="25:26" ht="26.25">
      <c r="Y447" s="6"/>
      <c r="Z447" s="6"/>
    </row>
    <row r="448" spans="25:26" ht="26.25">
      <c r="Y448" s="6"/>
      <c r="Z448" s="6"/>
    </row>
    <row r="449" spans="25:26" ht="26.25">
      <c r="Y449" s="6"/>
      <c r="Z449" s="6"/>
    </row>
    <row r="450" spans="25:26" ht="26.25">
      <c r="Y450" s="6"/>
      <c r="Z450" s="6"/>
    </row>
    <row r="451" spans="25:26" ht="26.25">
      <c r="Y451" s="6"/>
      <c r="Z451" s="6"/>
    </row>
    <row r="452" spans="25:26" ht="26.25">
      <c r="Y452" s="6"/>
      <c r="Z452" s="6"/>
    </row>
    <row r="453" spans="25:26" ht="26.25">
      <c r="Y453" s="6"/>
      <c r="Z453" s="6"/>
    </row>
    <row r="454" spans="25:26" ht="26.25">
      <c r="Y454" s="6"/>
      <c r="Z454" s="6"/>
    </row>
    <row r="455" spans="25:26" ht="26.25">
      <c r="Y455" s="6"/>
      <c r="Z455" s="6"/>
    </row>
    <row r="456" spans="25:26" ht="26.25">
      <c r="Y456" s="6"/>
      <c r="Z456" s="6"/>
    </row>
    <row r="457" spans="25:26" ht="26.25">
      <c r="Y457" s="6"/>
      <c r="Z457" s="6"/>
    </row>
    <row r="458" spans="25:26" ht="26.25">
      <c r="Y458" s="6"/>
      <c r="Z458" s="6"/>
    </row>
    <row r="459" spans="25:26" ht="26.25">
      <c r="Y459" s="6"/>
      <c r="Z459" s="6"/>
    </row>
    <row r="460" spans="25:26" ht="26.25">
      <c r="Y460" s="6"/>
      <c r="Z460" s="6"/>
    </row>
    <row r="461" spans="25:26" ht="26.25">
      <c r="Y461" s="6"/>
      <c r="Z461" s="6"/>
    </row>
    <row r="462" spans="25:26" ht="26.25">
      <c r="Y462" s="6"/>
      <c r="Z462" s="6"/>
    </row>
    <row r="463" spans="25:26" ht="26.25">
      <c r="Y463" s="6"/>
      <c r="Z463" s="6"/>
    </row>
    <row r="464" spans="25:26" ht="26.25">
      <c r="Y464" s="6"/>
      <c r="Z464" s="6"/>
    </row>
    <row r="465" spans="25:26" ht="26.25">
      <c r="Y465" s="6"/>
      <c r="Z465" s="6"/>
    </row>
    <row r="466" spans="25:26" ht="26.25">
      <c r="Y466" s="6"/>
      <c r="Z466" s="6"/>
    </row>
    <row r="467" spans="25:26" ht="26.25">
      <c r="Y467" s="6"/>
      <c r="Z467" s="6"/>
    </row>
    <row r="468" spans="25:26" ht="26.25">
      <c r="Y468" s="6"/>
      <c r="Z468" s="6"/>
    </row>
    <row r="469" spans="25:26" ht="26.25">
      <c r="Y469" s="6"/>
      <c r="Z469" s="6"/>
    </row>
    <row r="470" spans="25:26" ht="26.25">
      <c r="Y470" s="6"/>
      <c r="Z470" s="6"/>
    </row>
    <row r="471" spans="25:26" ht="26.25">
      <c r="Y471" s="6"/>
      <c r="Z471" s="6"/>
    </row>
    <row r="472" spans="25:26" ht="26.25">
      <c r="Y472" s="6"/>
      <c r="Z472" s="6"/>
    </row>
    <row r="473" spans="25:26" ht="26.25">
      <c r="Y473" s="6"/>
      <c r="Z473" s="6"/>
    </row>
    <row r="474" spans="25:26" ht="26.25">
      <c r="Y474" s="6"/>
      <c r="Z474" s="6"/>
    </row>
    <row r="475" spans="25:26" ht="26.25">
      <c r="Y475" s="6"/>
      <c r="Z475" s="6"/>
    </row>
    <row r="476" spans="25:26" ht="26.25">
      <c r="Y476" s="6"/>
      <c r="Z476" s="6"/>
    </row>
    <row r="477" spans="25:26" ht="26.25">
      <c r="Y477" s="6"/>
      <c r="Z477" s="6"/>
    </row>
    <row r="478" spans="25:26" ht="26.25">
      <c r="Y478" s="6"/>
      <c r="Z478" s="6"/>
    </row>
    <row r="479" spans="25:26" ht="26.25">
      <c r="Y479" s="6"/>
      <c r="Z479" s="6"/>
    </row>
    <row r="480" spans="25:26" ht="26.25">
      <c r="Y480" s="6"/>
      <c r="Z480" s="6"/>
    </row>
    <row r="481" spans="25:26" ht="26.25">
      <c r="Y481" s="6"/>
      <c r="Z481" s="6"/>
    </row>
    <row r="482" spans="25:26" ht="26.25">
      <c r="Y482" s="6"/>
      <c r="Z482" s="6"/>
    </row>
    <row r="483" spans="25:26" ht="26.25">
      <c r="Y483" s="6"/>
      <c r="Z483" s="6"/>
    </row>
    <row r="484" spans="25:26" ht="26.25">
      <c r="Y484" s="6"/>
      <c r="Z484" s="6"/>
    </row>
    <row r="485" spans="25:26" ht="26.25">
      <c r="Y485" s="6"/>
      <c r="Z485" s="6"/>
    </row>
    <row r="486" spans="25:26" ht="26.25">
      <c r="Y486" s="6"/>
      <c r="Z486" s="6"/>
    </row>
    <row r="487" spans="25:26" ht="26.25">
      <c r="Y487" s="6"/>
      <c r="Z487" s="6"/>
    </row>
    <row r="488" spans="25:26" ht="26.25">
      <c r="Y488" s="6"/>
      <c r="Z488" s="6"/>
    </row>
    <row r="489" spans="25:26" ht="26.25">
      <c r="Y489" s="6"/>
      <c r="Z489" s="6"/>
    </row>
    <row r="490" spans="25:26" ht="26.25">
      <c r="Y490" s="6"/>
      <c r="Z490" s="6"/>
    </row>
    <row r="491" spans="25:26" ht="26.25">
      <c r="Y491" s="6"/>
      <c r="Z491" s="6"/>
    </row>
    <row r="492" spans="25:26" ht="26.25">
      <c r="Y492" s="6"/>
      <c r="Z492" s="6"/>
    </row>
    <row r="493" spans="25:26" ht="26.25">
      <c r="Y493" s="6"/>
      <c r="Z493" s="6"/>
    </row>
    <row r="494" spans="25:26" ht="26.25">
      <c r="Y494" s="6"/>
      <c r="Z494" s="6"/>
    </row>
    <row r="495" spans="25:26" ht="26.25">
      <c r="Y495" s="6"/>
      <c r="Z495" s="6"/>
    </row>
    <row r="496" spans="25:26" ht="26.25">
      <c r="Y496" s="6"/>
      <c r="Z496" s="6"/>
    </row>
    <row r="497" spans="25:26" ht="26.25">
      <c r="Y497" s="6"/>
      <c r="Z497" s="6"/>
    </row>
    <row r="498" spans="25:26" ht="26.25">
      <c r="Y498" s="6"/>
      <c r="Z498" s="6"/>
    </row>
    <row r="499" spans="25:26" ht="26.25">
      <c r="Y499" s="6"/>
      <c r="Z499" s="6"/>
    </row>
    <row r="500" spans="25:26" ht="26.25">
      <c r="Y500" s="6"/>
      <c r="Z500" s="6"/>
    </row>
    <row r="501" spans="25:26" ht="26.25">
      <c r="Y501" s="6"/>
      <c r="Z501" s="6"/>
    </row>
    <row r="502" spans="25:26" ht="26.25">
      <c r="Y502" s="6"/>
      <c r="Z502" s="6"/>
    </row>
    <row r="503" spans="25:26" ht="26.25">
      <c r="Y503" s="6"/>
      <c r="Z503" s="6"/>
    </row>
    <row r="504" spans="25:26" ht="26.25">
      <c r="Y504" s="6"/>
      <c r="Z504" s="6"/>
    </row>
  </sheetData>
  <sheetProtection/>
  <mergeCells count="17">
    <mergeCell ref="A1:AP1"/>
    <mergeCell ref="A2:AP2"/>
    <mergeCell ref="A4:A5"/>
    <mergeCell ref="B4:B5"/>
    <mergeCell ref="C4:C5"/>
    <mergeCell ref="D4:I4"/>
    <mergeCell ref="K4:P4"/>
    <mergeCell ref="R4:W4"/>
    <mergeCell ref="Y4:AE4"/>
    <mergeCell ref="AF4:AL4"/>
    <mergeCell ref="BA48:BE48"/>
    <mergeCell ref="AM4:AS4"/>
    <mergeCell ref="AT4:AZ4"/>
    <mergeCell ref="B48:E48"/>
    <mergeCell ref="U48:V48"/>
    <mergeCell ref="AT48:AW48"/>
    <mergeCell ref="AY48:AZ48"/>
  </mergeCells>
  <printOptions/>
  <pageMargins left="0" right="0" top="0" bottom="0" header="0.1968503937007874" footer="0.2755905511811024"/>
  <pageSetup horizontalDpi="600" verticalDpi="600" orientation="landscape" paperSize="9" scale="23" r:id="rId1"/>
  <colBreaks count="2" manualBreakCount="2">
    <brk id="24" max="47" man="1"/>
    <brk id="45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M504"/>
  <sheetViews>
    <sheetView view="pageBreakPreview" zoomScale="50" zoomScaleNormal="49" zoomScaleSheetLayoutView="50" zoomScalePageLayoutView="0" workbookViewId="0" topLeftCell="A1">
      <pane xSplit="4" ySplit="2" topLeftCell="F9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A10" sqref="AA10"/>
    </sheetView>
  </sheetViews>
  <sheetFormatPr defaultColWidth="9.00390625" defaultRowHeight="12.75"/>
  <cols>
    <col min="1" max="1" width="11.125" style="5" customWidth="1"/>
    <col min="2" max="2" width="74.00390625" style="5" customWidth="1"/>
    <col min="3" max="3" width="11.125" style="5" customWidth="1"/>
    <col min="4" max="4" width="20.875" style="6" customWidth="1"/>
    <col min="5" max="5" width="22.125" style="92" customWidth="1"/>
    <col min="6" max="6" width="21.625" style="92" customWidth="1"/>
    <col min="7" max="7" width="19.75390625" style="92" customWidth="1"/>
    <col min="8" max="8" width="19.625" style="92" customWidth="1"/>
    <col min="9" max="9" width="21.00390625" style="92" customWidth="1"/>
    <col min="10" max="10" width="19.625" style="92" customWidth="1"/>
    <col min="11" max="11" width="21.75390625" style="6" customWidth="1"/>
    <col min="12" max="12" width="20.375" style="6" customWidth="1"/>
    <col min="13" max="13" width="16.625" style="6" customWidth="1"/>
    <col min="14" max="14" width="19.75390625" style="6" customWidth="1"/>
    <col min="15" max="15" width="18.00390625" style="6" customWidth="1"/>
    <col min="16" max="17" width="20.25390625" style="6" customWidth="1"/>
    <col min="18" max="18" width="25.625" style="6" customWidth="1"/>
    <col min="19" max="19" width="23.625" style="6" customWidth="1"/>
    <col min="20" max="20" width="25.375" style="6" customWidth="1"/>
    <col min="21" max="21" width="25.625" style="6" customWidth="1"/>
    <col min="22" max="22" width="23.00390625" style="6" customWidth="1"/>
    <col min="23" max="24" width="26.625" style="6" customWidth="1"/>
    <col min="25" max="25" width="21.625" style="95" customWidth="1"/>
    <col min="26" max="26" width="27.25390625" style="92" customWidth="1"/>
    <col min="27" max="27" width="21.625" style="92" customWidth="1"/>
    <col min="28" max="28" width="20.125" style="92" customWidth="1"/>
    <col min="29" max="29" width="20.375" style="92" customWidth="1"/>
    <col min="30" max="30" width="20.875" style="92" customWidth="1"/>
    <col min="31" max="31" width="21.75390625" style="92" customWidth="1"/>
    <col min="32" max="32" width="17.375" style="6" customWidth="1"/>
    <col min="33" max="33" width="17.75390625" style="6" customWidth="1"/>
    <col min="34" max="34" width="17.875" style="6" customWidth="1"/>
    <col min="35" max="35" width="17.00390625" style="6" customWidth="1"/>
    <col min="36" max="36" width="16.125" style="6" customWidth="1"/>
    <col min="37" max="37" width="17.25390625" style="6" customWidth="1"/>
    <col min="38" max="38" width="19.625" style="6" customWidth="1"/>
    <col min="39" max="39" width="26.875" style="6" customWidth="1"/>
    <col min="40" max="40" width="24.375" style="6" customWidth="1"/>
    <col min="41" max="41" width="25.375" style="6" customWidth="1"/>
    <col min="42" max="42" width="25.625" style="6" customWidth="1"/>
    <col min="43" max="43" width="25.00390625" style="6" customWidth="1"/>
    <col min="44" max="45" width="26.25390625" style="6" customWidth="1"/>
    <col min="46" max="46" width="25.625" style="93" customWidth="1"/>
    <col min="47" max="48" width="23.875" style="6" customWidth="1"/>
    <col min="49" max="49" width="26.125" style="6" customWidth="1"/>
    <col min="50" max="50" width="23.875" style="6" customWidth="1"/>
    <col min="51" max="52" width="25.375" style="6" customWidth="1"/>
    <col min="53" max="65" width="9.125" style="4" customWidth="1"/>
    <col min="66" max="16384" width="9.125" style="5" customWidth="1"/>
  </cols>
  <sheetData>
    <row r="1" spans="1:52" ht="36" customHeight="1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1"/>
      <c r="AR1" s="1"/>
      <c r="AS1" s="1"/>
      <c r="AT1" s="2"/>
      <c r="AU1" s="3"/>
      <c r="AV1" s="3"/>
      <c r="AW1" s="3"/>
      <c r="AX1" s="3"/>
      <c r="AY1" s="3"/>
      <c r="AZ1" s="3"/>
    </row>
    <row r="2" spans="1:52" ht="30" customHeight="1">
      <c r="A2" s="215" t="s">
        <v>49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1"/>
      <c r="AR2" s="1"/>
      <c r="AS2" s="1"/>
      <c r="AT2" s="2"/>
      <c r="AU2" s="3"/>
      <c r="AV2" s="3"/>
      <c r="AW2" s="3"/>
      <c r="AX2" s="3"/>
      <c r="AY2" s="3"/>
      <c r="AZ2" s="3"/>
    </row>
    <row r="3" spans="1:46" ht="11.25" customHeight="1" thickBot="1">
      <c r="A3" s="1"/>
      <c r="B3" s="1"/>
      <c r="D3" s="3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2"/>
    </row>
    <row r="4" spans="1:65" s="8" customFormat="1" ht="30.75" customHeight="1">
      <c r="A4" s="216"/>
      <c r="B4" s="218" t="s">
        <v>7</v>
      </c>
      <c r="C4" s="218"/>
      <c r="D4" s="209" t="s">
        <v>30</v>
      </c>
      <c r="E4" s="210"/>
      <c r="F4" s="210"/>
      <c r="G4" s="210"/>
      <c r="H4" s="210"/>
      <c r="I4" s="220"/>
      <c r="J4" s="111"/>
      <c r="K4" s="209" t="s">
        <v>11</v>
      </c>
      <c r="L4" s="210"/>
      <c r="M4" s="210"/>
      <c r="N4" s="210"/>
      <c r="O4" s="210"/>
      <c r="P4" s="220"/>
      <c r="Q4" s="111"/>
      <c r="R4" s="209" t="s">
        <v>31</v>
      </c>
      <c r="S4" s="210"/>
      <c r="T4" s="210"/>
      <c r="U4" s="210"/>
      <c r="V4" s="210"/>
      <c r="W4" s="220"/>
      <c r="X4" s="111"/>
      <c r="Y4" s="209" t="s">
        <v>8</v>
      </c>
      <c r="Z4" s="210"/>
      <c r="AA4" s="210"/>
      <c r="AB4" s="210"/>
      <c r="AC4" s="210"/>
      <c r="AD4" s="210"/>
      <c r="AE4" s="220"/>
      <c r="AF4" s="221" t="s">
        <v>10</v>
      </c>
      <c r="AG4" s="222"/>
      <c r="AH4" s="222"/>
      <c r="AI4" s="222"/>
      <c r="AJ4" s="222"/>
      <c r="AK4" s="222"/>
      <c r="AL4" s="223"/>
      <c r="AM4" s="209" t="s">
        <v>32</v>
      </c>
      <c r="AN4" s="210"/>
      <c r="AO4" s="210"/>
      <c r="AP4" s="210"/>
      <c r="AQ4" s="210"/>
      <c r="AR4" s="210"/>
      <c r="AS4" s="210"/>
      <c r="AT4" s="211" t="s">
        <v>33</v>
      </c>
      <c r="AU4" s="210"/>
      <c r="AV4" s="210"/>
      <c r="AW4" s="210"/>
      <c r="AX4" s="210"/>
      <c r="AY4" s="210"/>
      <c r="AZ4" s="212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52" ht="50.25" customHeight="1">
      <c r="A5" s="217"/>
      <c r="B5" s="219"/>
      <c r="C5" s="219"/>
      <c r="D5" s="11" t="s">
        <v>6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12" t="s">
        <v>36</v>
      </c>
      <c r="K5" s="11" t="s">
        <v>6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36</v>
      </c>
      <c r="R5" s="11" t="s">
        <v>6</v>
      </c>
      <c r="S5" s="12" t="s">
        <v>12</v>
      </c>
      <c r="T5" s="12" t="s">
        <v>13</v>
      </c>
      <c r="U5" s="12" t="s">
        <v>14</v>
      </c>
      <c r="V5" s="12" t="s">
        <v>15</v>
      </c>
      <c r="W5" s="12" t="s">
        <v>16</v>
      </c>
      <c r="X5" s="12" t="s">
        <v>36</v>
      </c>
      <c r="Y5" s="11" t="s">
        <v>6</v>
      </c>
      <c r="Z5" s="12" t="s">
        <v>12</v>
      </c>
      <c r="AA5" s="12" t="s">
        <v>13</v>
      </c>
      <c r="AB5" s="12" t="s">
        <v>14</v>
      </c>
      <c r="AC5" s="12" t="s">
        <v>15</v>
      </c>
      <c r="AD5" s="12" t="s">
        <v>16</v>
      </c>
      <c r="AE5" s="12" t="s">
        <v>36</v>
      </c>
      <c r="AF5" s="11" t="s">
        <v>6</v>
      </c>
      <c r="AG5" s="12" t="s">
        <v>12</v>
      </c>
      <c r="AH5" s="12" t="s">
        <v>13</v>
      </c>
      <c r="AI5" s="12" t="s">
        <v>14</v>
      </c>
      <c r="AJ5" s="12" t="s">
        <v>15</v>
      </c>
      <c r="AK5" s="12" t="s">
        <v>16</v>
      </c>
      <c r="AL5" s="12" t="s">
        <v>36</v>
      </c>
      <c r="AM5" s="14" t="s">
        <v>6</v>
      </c>
      <c r="AN5" s="12" t="s">
        <v>12</v>
      </c>
      <c r="AO5" s="12" t="s">
        <v>13</v>
      </c>
      <c r="AP5" s="12" t="s">
        <v>14</v>
      </c>
      <c r="AQ5" s="12" t="s">
        <v>15</v>
      </c>
      <c r="AR5" s="12" t="s">
        <v>16</v>
      </c>
      <c r="AS5" s="112" t="s">
        <v>36</v>
      </c>
      <c r="AT5" s="114" t="s">
        <v>6</v>
      </c>
      <c r="AU5" s="16" t="s">
        <v>12</v>
      </c>
      <c r="AV5" s="16" t="s">
        <v>13</v>
      </c>
      <c r="AW5" s="16" t="s">
        <v>14</v>
      </c>
      <c r="AX5" s="16" t="s">
        <v>15</v>
      </c>
      <c r="AY5" s="16" t="s">
        <v>16</v>
      </c>
      <c r="AZ5" s="110" t="s">
        <v>36</v>
      </c>
    </row>
    <row r="6" spans="1:65" s="22" customFormat="1" ht="25.5" customHeight="1" thickBot="1">
      <c r="A6" s="17"/>
      <c r="B6" s="18">
        <v>2</v>
      </c>
      <c r="C6" s="18"/>
      <c r="D6" s="19">
        <v>3</v>
      </c>
      <c r="E6" s="18"/>
      <c r="F6" s="18"/>
      <c r="G6" s="18"/>
      <c r="H6" s="18"/>
      <c r="I6" s="18"/>
      <c r="J6" s="18"/>
      <c r="K6" s="19">
        <v>4</v>
      </c>
      <c r="L6" s="20"/>
      <c r="M6" s="20"/>
      <c r="N6" s="20"/>
      <c r="O6" s="20"/>
      <c r="P6" s="20"/>
      <c r="Q6" s="20"/>
      <c r="R6" s="19">
        <v>5</v>
      </c>
      <c r="S6" s="20"/>
      <c r="T6" s="20"/>
      <c r="U6" s="20"/>
      <c r="V6" s="20"/>
      <c r="W6" s="20"/>
      <c r="X6" s="20"/>
      <c r="Y6" s="19">
        <v>6</v>
      </c>
      <c r="Z6" s="18"/>
      <c r="AA6" s="18"/>
      <c r="AB6" s="18"/>
      <c r="AC6" s="18"/>
      <c r="AD6" s="18"/>
      <c r="AE6" s="18"/>
      <c r="AF6" s="19">
        <v>7</v>
      </c>
      <c r="AG6" s="20"/>
      <c r="AH6" s="20"/>
      <c r="AI6" s="20"/>
      <c r="AJ6" s="20"/>
      <c r="AK6" s="20"/>
      <c r="AL6" s="20"/>
      <c r="AM6" s="19">
        <v>8</v>
      </c>
      <c r="AN6" s="20"/>
      <c r="AO6" s="20"/>
      <c r="AP6" s="20"/>
      <c r="AQ6" s="20"/>
      <c r="AR6" s="20"/>
      <c r="AS6" s="113"/>
      <c r="AT6" s="115">
        <v>9</v>
      </c>
      <c r="AU6" s="116"/>
      <c r="AV6" s="116"/>
      <c r="AW6" s="116"/>
      <c r="AX6" s="116"/>
      <c r="AY6" s="116"/>
      <c r="AZ6" s="117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</row>
    <row r="7" spans="1:65" s="29" customFormat="1" ht="43.5" customHeight="1" thickBot="1">
      <c r="A7" s="23">
        <v>1</v>
      </c>
      <c r="B7" s="24" t="s">
        <v>2</v>
      </c>
      <c r="C7" s="24" t="s">
        <v>4</v>
      </c>
      <c r="D7" s="25">
        <f aca="true" t="shared" si="0" ref="D7:J7">SUM(D8:D18)</f>
        <v>8339.214393504712</v>
      </c>
      <c r="E7" s="25">
        <f t="shared" si="0"/>
        <v>652.6351</v>
      </c>
      <c r="F7" s="25">
        <f t="shared" si="0"/>
        <v>3970.85342</v>
      </c>
      <c r="G7" s="25">
        <f t="shared" si="0"/>
        <v>1478.4240952782907</v>
      </c>
      <c r="H7" s="25">
        <f t="shared" si="0"/>
        <v>1245.7143</v>
      </c>
      <c r="I7" s="25">
        <f t="shared" si="0"/>
        <v>835.9640282264197</v>
      </c>
      <c r="J7" s="25">
        <f t="shared" si="0"/>
        <v>155.62345000000002</v>
      </c>
      <c r="K7" s="27">
        <f aca="true" t="shared" si="1" ref="K7:P7">R7/D7</f>
        <v>2252.9402667274626</v>
      </c>
      <c r="L7" s="27">
        <f t="shared" si="1"/>
        <v>2750.390424909724</v>
      </c>
      <c r="M7" s="27">
        <f t="shared" si="1"/>
        <v>1808.6277760411515</v>
      </c>
      <c r="N7" s="27">
        <f t="shared" si="1"/>
        <v>2711.2889480101944</v>
      </c>
      <c r="O7" s="27">
        <f t="shared" si="1"/>
        <v>2682.3170047899425</v>
      </c>
      <c r="P7" s="27">
        <f t="shared" si="1"/>
        <v>2677.526214553523</v>
      </c>
      <c r="Q7" s="27">
        <f>Y7/J7</f>
        <v>53.198587530297374</v>
      </c>
      <c r="R7" s="27">
        <f aca="true" t="shared" si="2" ref="R7:AE7">SUM(R8:R18)</f>
        <v>18787751.9</v>
      </c>
      <c r="S7" s="27">
        <f t="shared" si="2"/>
        <v>1795001.33</v>
      </c>
      <c r="T7" s="27">
        <f t="shared" si="2"/>
        <v>7181795.79</v>
      </c>
      <c r="U7" s="27">
        <f t="shared" si="2"/>
        <v>4008434.91</v>
      </c>
      <c r="V7" s="27">
        <f t="shared" si="2"/>
        <v>3341400.65</v>
      </c>
      <c r="W7" s="27">
        <f t="shared" si="2"/>
        <v>2238315.6</v>
      </c>
      <c r="X7" s="27">
        <f t="shared" si="2"/>
        <v>222803.62000000002</v>
      </c>
      <c r="Y7" s="59">
        <f t="shared" si="2"/>
        <v>8278.947726591858</v>
      </c>
      <c r="Z7" s="59">
        <f t="shared" si="2"/>
        <v>664.8012069976936</v>
      </c>
      <c r="AA7" s="59">
        <f t="shared" si="2"/>
        <v>3898.853753987834</v>
      </c>
      <c r="AB7" s="59">
        <f t="shared" si="2"/>
        <v>1480.8790993322136</v>
      </c>
      <c r="AC7" s="59">
        <f t="shared" si="2"/>
        <v>1247.0666822028109</v>
      </c>
      <c r="AD7" s="59">
        <f t="shared" si="2"/>
        <v>831.7249861380092</v>
      </c>
      <c r="AE7" s="59">
        <f t="shared" si="2"/>
        <v>155.62199793329532</v>
      </c>
      <c r="AF7" s="28">
        <f>AM7/Y7</f>
        <v>1242.1195470252496</v>
      </c>
      <c r="AG7" s="28">
        <f>AG12</f>
        <v>1244.41</v>
      </c>
      <c r="AH7" s="28">
        <f>AH12</f>
        <v>1244.41</v>
      </c>
      <c r="AI7" s="28">
        <f>AI12</f>
        <v>1244.41</v>
      </c>
      <c r="AJ7" s="28">
        <f>AJ12</f>
        <v>1244.41</v>
      </c>
      <c r="AK7" s="27">
        <f>AK12</f>
        <v>1244.41</v>
      </c>
      <c r="AL7" s="27">
        <f>AL17</f>
        <v>1122.56</v>
      </c>
      <c r="AM7" s="27">
        <f aca="true" t="shared" si="3" ref="AM7:AZ7">SUM(AM8:AM18)</f>
        <v>10283442.799999999</v>
      </c>
      <c r="AN7" s="27">
        <f t="shared" si="3"/>
        <v>827285.27</v>
      </c>
      <c r="AO7" s="27">
        <f t="shared" si="3"/>
        <v>4851772.600000001</v>
      </c>
      <c r="AP7" s="27">
        <f t="shared" si="3"/>
        <v>1842820.76</v>
      </c>
      <c r="AQ7" s="27">
        <f t="shared" si="3"/>
        <v>1551862.25</v>
      </c>
      <c r="AR7" s="27">
        <f t="shared" si="3"/>
        <v>1035006.89</v>
      </c>
      <c r="AS7" s="27">
        <f t="shared" si="3"/>
        <v>174695.03</v>
      </c>
      <c r="AT7" s="118">
        <f t="shared" si="3"/>
        <v>8429326.650398705</v>
      </c>
      <c r="AU7" s="27">
        <f t="shared" si="3"/>
        <v>982857.541561</v>
      </c>
      <c r="AV7" s="27">
        <f t="shared" si="3"/>
        <v>2240427.4197481996</v>
      </c>
      <c r="AW7" s="27">
        <f t="shared" si="3"/>
        <v>2168673.4348987425</v>
      </c>
      <c r="AX7" s="27">
        <f t="shared" si="3"/>
        <v>1791225.0491130003</v>
      </c>
      <c r="AY7" s="27">
        <f t="shared" si="3"/>
        <v>1198035.8765947612</v>
      </c>
      <c r="AZ7" s="27">
        <f t="shared" si="3"/>
        <v>48107.32848300003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</row>
    <row r="8" spans="1:52" ht="53.25" customHeight="1">
      <c r="A8" s="38"/>
      <c r="B8" s="47" t="s">
        <v>20</v>
      </c>
      <c r="C8" s="48"/>
      <c r="D8" s="49">
        <f aca="true" t="shared" si="4" ref="D8:D16">SUM(E8:I8)</f>
        <v>26.644</v>
      </c>
      <c r="E8" s="45">
        <v>26.644</v>
      </c>
      <c r="F8" s="45"/>
      <c r="G8" s="45"/>
      <c r="H8" s="45"/>
      <c r="I8" s="45"/>
      <c r="J8" s="45"/>
      <c r="K8" s="14">
        <f aca="true" t="shared" si="5" ref="K8:K45">R8/D8</f>
        <v>4349.751163488966</v>
      </c>
      <c r="L8" s="13">
        <v>4349.75</v>
      </c>
      <c r="M8" s="37"/>
      <c r="N8" s="37"/>
      <c r="O8" s="37"/>
      <c r="P8" s="50"/>
      <c r="Q8" s="13"/>
      <c r="R8" s="15">
        <f aca="true" t="shared" si="6" ref="R8:R16">SUM(S8:W8)</f>
        <v>115894.77</v>
      </c>
      <c r="S8" s="50">
        <v>115894.77</v>
      </c>
      <c r="T8" s="50"/>
      <c r="U8" s="50"/>
      <c r="V8" s="50"/>
      <c r="W8" s="50"/>
      <c r="X8" s="13"/>
      <c r="Y8" s="67">
        <f aca="true" t="shared" si="7" ref="Y8:Y16">SUM(Z8:AD8)</f>
        <v>28.00856630853175</v>
      </c>
      <c r="Z8" s="97">
        <f>AN8/AG8</f>
        <v>28.00856630853175</v>
      </c>
      <c r="AA8" s="97"/>
      <c r="AB8" s="97"/>
      <c r="AC8" s="97"/>
      <c r="AD8" s="97"/>
      <c r="AE8" s="97"/>
      <c r="AF8" s="14">
        <f>AG8</f>
        <v>1244.41</v>
      </c>
      <c r="AG8" s="13">
        <v>1244.41</v>
      </c>
      <c r="AH8" s="13"/>
      <c r="AI8" s="13"/>
      <c r="AJ8" s="13"/>
      <c r="AK8" s="13"/>
      <c r="AL8" s="37"/>
      <c r="AM8" s="15">
        <f aca="true" t="shared" si="8" ref="AM8:AM16">SUM(AN8:AR8)</f>
        <v>34854.14</v>
      </c>
      <c r="AN8" s="50">
        <v>34854.14</v>
      </c>
      <c r="AO8" s="50"/>
      <c r="AP8" s="50"/>
      <c r="AQ8" s="50"/>
      <c r="AR8" s="50"/>
      <c r="AS8" s="13"/>
      <c r="AT8" s="15">
        <f aca="true" t="shared" si="9" ref="AT8:AT16">SUM(AU8:AY8)</f>
        <v>82738.67896</v>
      </c>
      <c r="AU8" s="37">
        <f>(L8-AG8)*E8</f>
        <v>82738.67896</v>
      </c>
      <c r="AV8" s="37"/>
      <c r="AW8" s="37"/>
      <c r="AX8" s="37"/>
      <c r="AY8" s="37"/>
      <c r="AZ8" s="13"/>
    </row>
    <row r="9" spans="1:52" ht="53.25" customHeight="1">
      <c r="A9" s="38"/>
      <c r="B9" s="47" t="s">
        <v>21</v>
      </c>
      <c r="C9" s="48"/>
      <c r="D9" s="51">
        <f t="shared" si="4"/>
        <v>42.54497476979484</v>
      </c>
      <c r="E9" s="45"/>
      <c r="F9" s="45"/>
      <c r="G9" s="52">
        <f>U9/N9</f>
        <v>42.54497476979484</v>
      </c>
      <c r="H9" s="45"/>
      <c r="I9" s="45"/>
      <c r="J9" s="45"/>
      <c r="K9" s="14">
        <f t="shared" si="5"/>
        <v>4276.62</v>
      </c>
      <c r="L9" s="13"/>
      <c r="M9" s="37"/>
      <c r="N9" s="37">
        <v>4276.62</v>
      </c>
      <c r="O9" s="53"/>
      <c r="P9" s="50"/>
      <c r="Q9" s="13"/>
      <c r="R9" s="15">
        <f t="shared" si="6"/>
        <v>181948.69</v>
      </c>
      <c r="S9" s="50"/>
      <c r="T9" s="50"/>
      <c r="U9" s="50">
        <v>181948.69</v>
      </c>
      <c r="V9" s="50"/>
      <c r="W9" s="50"/>
      <c r="X9" s="13"/>
      <c r="Y9" s="67">
        <f t="shared" si="7"/>
        <v>44.01153156917736</v>
      </c>
      <c r="Z9" s="97"/>
      <c r="AA9" s="97"/>
      <c r="AB9" s="97">
        <f>AP9/AI9</f>
        <v>44.01153156917736</v>
      </c>
      <c r="AC9" s="97"/>
      <c r="AD9" s="97"/>
      <c r="AE9" s="97"/>
      <c r="AF9" s="14">
        <f>AI9</f>
        <v>1244.41</v>
      </c>
      <c r="AG9" s="13"/>
      <c r="AH9" s="13"/>
      <c r="AI9" s="13">
        <v>1244.41</v>
      </c>
      <c r="AJ9" s="13"/>
      <c r="AK9" s="13"/>
      <c r="AL9" s="37"/>
      <c r="AM9" s="15">
        <f t="shared" si="8"/>
        <v>54768.39</v>
      </c>
      <c r="AN9" s="50"/>
      <c r="AO9" s="50"/>
      <c r="AP9" s="50">
        <v>54768.39</v>
      </c>
      <c r="AQ9" s="50"/>
      <c r="AR9" s="50"/>
      <c r="AS9" s="13"/>
      <c r="AT9" s="15">
        <f t="shared" si="9"/>
        <v>129005.29794671961</v>
      </c>
      <c r="AU9" s="37"/>
      <c r="AV9" s="37"/>
      <c r="AW9" s="37">
        <f>(N9-AI9)*G9</f>
        <v>129005.29794671961</v>
      </c>
      <c r="AX9" s="37"/>
      <c r="AY9" s="37"/>
      <c r="AZ9" s="13"/>
    </row>
    <row r="10" spans="1:52" ht="54.75" customHeight="1">
      <c r="A10" s="40"/>
      <c r="B10" s="54" t="s">
        <v>43</v>
      </c>
      <c r="C10" s="40"/>
      <c r="D10" s="49">
        <f t="shared" si="4"/>
        <v>901.154</v>
      </c>
      <c r="E10" s="45"/>
      <c r="F10" s="45">
        <v>901.154</v>
      </c>
      <c r="G10" s="45"/>
      <c r="H10" s="45"/>
      <c r="I10" s="45"/>
      <c r="J10" s="45"/>
      <c r="K10" s="14">
        <f t="shared" si="5"/>
        <v>1721.6100022859578</v>
      </c>
      <c r="L10" s="13"/>
      <c r="M10" s="37">
        <v>1721.61</v>
      </c>
      <c r="N10" s="37"/>
      <c r="O10" s="37"/>
      <c r="P10" s="13"/>
      <c r="Q10" s="37"/>
      <c r="R10" s="15">
        <f t="shared" si="6"/>
        <v>1551435.74</v>
      </c>
      <c r="S10" s="13"/>
      <c r="T10" s="13">
        <v>1551435.74</v>
      </c>
      <c r="U10" s="13"/>
      <c r="V10" s="13"/>
      <c r="W10" s="13"/>
      <c r="X10" s="37"/>
      <c r="Y10" s="67">
        <f t="shared" si="7"/>
        <v>901.1537596129892</v>
      </c>
      <c r="Z10" s="97"/>
      <c r="AA10" s="97">
        <f>AO10/AH10</f>
        <v>901.1537596129892</v>
      </c>
      <c r="AB10" s="97"/>
      <c r="AC10" s="97"/>
      <c r="AD10" s="97"/>
      <c r="AE10" s="97"/>
      <c r="AF10" s="14">
        <f>AH10</f>
        <v>1244.41</v>
      </c>
      <c r="AG10" s="13"/>
      <c r="AH10" s="13">
        <v>1244.41</v>
      </c>
      <c r="AI10" s="13"/>
      <c r="AJ10" s="13"/>
      <c r="AK10" s="13"/>
      <c r="AL10" s="37"/>
      <c r="AM10" s="15">
        <f t="shared" si="8"/>
        <v>1121404.75</v>
      </c>
      <c r="AN10" s="13"/>
      <c r="AO10" s="13">
        <v>1121404.75</v>
      </c>
      <c r="AP10" s="13"/>
      <c r="AQ10" s="13"/>
      <c r="AR10" s="13"/>
      <c r="AS10" s="13"/>
      <c r="AT10" s="15">
        <f t="shared" si="9"/>
        <v>430030.6887999998</v>
      </c>
      <c r="AU10" s="37"/>
      <c r="AV10" s="37">
        <f>(M10-AH10)*F10</f>
        <v>430030.6887999998</v>
      </c>
      <c r="AW10" s="37"/>
      <c r="AX10" s="37"/>
      <c r="AY10" s="37"/>
      <c r="AZ10" s="13"/>
    </row>
    <row r="11" spans="1:52" ht="42" customHeight="1">
      <c r="A11" s="40"/>
      <c r="B11" s="54" t="s">
        <v>22</v>
      </c>
      <c r="C11" s="40"/>
      <c r="D11" s="41">
        <f t="shared" si="4"/>
        <v>8.176984012485736</v>
      </c>
      <c r="E11" s="42"/>
      <c r="F11" s="42"/>
      <c r="G11" s="42">
        <f>U11/N11</f>
        <v>8.176984012485736</v>
      </c>
      <c r="H11" s="42"/>
      <c r="I11" s="42"/>
      <c r="J11" s="42"/>
      <c r="K11" s="14">
        <f t="shared" si="5"/>
        <v>1524.9400000000003</v>
      </c>
      <c r="L11" s="13"/>
      <c r="M11" s="13"/>
      <c r="N11" s="13">
        <v>1524.94</v>
      </c>
      <c r="O11" s="13"/>
      <c r="P11" s="13"/>
      <c r="Q11" s="13"/>
      <c r="R11" s="14">
        <f t="shared" si="6"/>
        <v>12469.41</v>
      </c>
      <c r="S11" s="13"/>
      <c r="T11" s="13"/>
      <c r="U11" s="13">
        <v>12469.41</v>
      </c>
      <c r="V11" s="13"/>
      <c r="W11" s="13"/>
      <c r="X11" s="13"/>
      <c r="Y11" s="64">
        <f t="shared" si="7"/>
        <v>8.685963629350454</v>
      </c>
      <c r="Z11" s="65"/>
      <c r="AA11" s="65"/>
      <c r="AB11" s="65">
        <f>AP11/AI11</f>
        <v>8.685963629350454</v>
      </c>
      <c r="AC11" s="65"/>
      <c r="AD11" s="65"/>
      <c r="AE11" s="65"/>
      <c r="AF11" s="14">
        <f>AI11</f>
        <v>1244.41</v>
      </c>
      <c r="AG11" s="13"/>
      <c r="AH11" s="13"/>
      <c r="AI11" s="13">
        <v>1244.41</v>
      </c>
      <c r="AJ11" s="13"/>
      <c r="AK11" s="13"/>
      <c r="AL11" s="13"/>
      <c r="AM11" s="14">
        <f t="shared" si="8"/>
        <v>10808.9</v>
      </c>
      <c r="AN11" s="13"/>
      <c r="AO11" s="13"/>
      <c r="AP11" s="13">
        <v>10808.9</v>
      </c>
      <c r="AQ11" s="13"/>
      <c r="AR11" s="13"/>
      <c r="AS11" s="13"/>
      <c r="AT11" s="14">
        <f t="shared" si="9"/>
        <v>2293.8893250226233</v>
      </c>
      <c r="AU11" s="37"/>
      <c r="AV11" s="37"/>
      <c r="AW11" s="37">
        <f>(N11-AI11)*G11</f>
        <v>2293.8893250226233</v>
      </c>
      <c r="AX11" s="37"/>
      <c r="AY11" s="37"/>
      <c r="AZ11" s="13"/>
    </row>
    <row r="12" spans="1:52" ht="33" customHeight="1">
      <c r="A12" s="30"/>
      <c r="B12" s="31" t="s">
        <v>17</v>
      </c>
      <c r="C12" s="32"/>
      <c r="D12" s="33">
        <f t="shared" si="4"/>
        <v>4698.5744</v>
      </c>
      <c r="E12" s="34">
        <v>625.9911</v>
      </c>
      <c r="F12" s="34">
        <v>650.7913</v>
      </c>
      <c r="G12" s="34">
        <v>1416.8997</v>
      </c>
      <c r="H12" s="34">
        <v>1245.7143</v>
      </c>
      <c r="I12" s="34">
        <v>759.178</v>
      </c>
      <c r="J12" s="34"/>
      <c r="K12" s="35">
        <f t="shared" si="5"/>
        <v>2682.3170023656535</v>
      </c>
      <c r="L12" s="36">
        <v>2682.32</v>
      </c>
      <c r="M12" s="36">
        <f>L12</f>
        <v>2682.32</v>
      </c>
      <c r="N12" s="36">
        <f>L12</f>
        <v>2682.32</v>
      </c>
      <c r="O12" s="36">
        <f>L12</f>
        <v>2682.32</v>
      </c>
      <c r="P12" s="36">
        <f>L12</f>
        <v>2682.32</v>
      </c>
      <c r="Q12" s="36"/>
      <c r="R12" s="35">
        <f t="shared" si="6"/>
        <v>12603066</v>
      </c>
      <c r="S12" s="36">
        <v>1679106.56</v>
      </c>
      <c r="T12" s="36">
        <v>1745628.58</v>
      </c>
      <c r="U12" s="36">
        <v>3800574.15</v>
      </c>
      <c r="V12" s="36">
        <v>3341400.65</v>
      </c>
      <c r="W12" s="36">
        <v>2036356.06</v>
      </c>
      <c r="X12" s="36"/>
      <c r="Y12" s="62">
        <f t="shared" si="7"/>
        <v>4706.079740599963</v>
      </c>
      <c r="Z12" s="34">
        <f>AN12/AG12</f>
        <v>636.7926406891619</v>
      </c>
      <c r="AA12" s="34">
        <f>AO12/AH12</f>
        <v>649.902226758062</v>
      </c>
      <c r="AB12" s="34">
        <f>AP12/AI12</f>
        <v>1417.3791676376757</v>
      </c>
      <c r="AC12" s="34">
        <f>AQ12/AJ12</f>
        <v>1247.0666822028109</v>
      </c>
      <c r="AD12" s="34">
        <f>AR12/AK12</f>
        <v>754.9390233122524</v>
      </c>
      <c r="AE12" s="34"/>
      <c r="AF12" s="15">
        <f>AG12</f>
        <v>1244.41</v>
      </c>
      <c r="AG12" s="37">
        <v>1244.41</v>
      </c>
      <c r="AH12" s="37">
        <v>1244.41</v>
      </c>
      <c r="AI12" s="37">
        <v>1244.41</v>
      </c>
      <c r="AJ12" s="37">
        <v>1244.41</v>
      </c>
      <c r="AK12" s="37">
        <v>1244.41</v>
      </c>
      <c r="AL12" s="36"/>
      <c r="AM12" s="35">
        <f t="shared" si="8"/>
        <v>5856292.6899999995</v>
      </c>
      <c r="AN12" s="36">
        <f>359420.11+433011.02</f>
        <v>792431.13</v>
      </c>
      <c r="AO12" s="36">
        <f>381119.82+226053.51+201571.5</f>
        <v>808744.8300000001</v>
      </c>
      <c r="AP12" s="36">
        <f>672919.71+1090881.1</f>
        <v>1763800.81</v>
      </c>
      <c r="AQ12" s="36">
        <f>916070.85+472146.33+163645.07</f>
        <v>1551862.25</v>
      </c>
      <c r="AR12" s="36">
        <v>939453.67</v>
      </c>
      <c r="AS12" s="36"/>
      <c r="AT12" s="35">
        <f t="shared" si="9"/>
        <v>6756127.115504001</v>
      </c>
      <c r="AU12" s="37">
        <f>(L12-AG12)*E12</f>
        <v>900118.862601</v>
      </c>
      <c r="AV12" s="37">
        <f>(M12-AH12)*F12</f>
        <v>935779.318183</v>
      </c>
      <c r="AW12" s="37">
        <f>(N12-AI12)*G12</f>
        <v>2037374.247627</v>
      </c>
      <c r="AX12" s="37">
        <f>(O12-AJ12)*H12</f>
        <v>1791225.0491130003</v>
      </c>
      <c r="AY12" s="37">
        <f>(P12-AK12)*I12</f>
        <v>1091629.63798</v>
      </c>
      <c r="AZ12" s="37"/>
    </row>
    <row r="13" spans="1:52" ht="63.75" customHeight="1">
      <c r="A13" s="38"/>
      <c r="B13" s="39" t="s">
        <v>42</v>
      </c>
      <c r="C13" s="40"/>
      <c r="D13" s="41">
        <f t="shared" si="4"/>
        <v>76.78602822641969</v>
      </c>
      <c r="E13" s="42"/>
      <c r="F13" s="42"/>
      <c r="G13" s="42"/>
      <c r="H13" s="42"/>
      <c r="I13" s="42">
        <f>W13/P13</f>
        <v>76.78602822641969</v>
      </c>
      <c r="J13" s="42"/>
      <c r="K13" s="14">
        <f t="shared" si="5"/>
        <v>2630.16</v>
      </c>
      <c r="L13" s="13"/>
      <c r="M13" s="13"/>
      <c r="N13" s="13"/>
      <c r="O13" s="13"/>
      <c r="P13" s="13">
        <v>2630.16</v>
      </c>
      <c r="Q13" s="13"/>
      <c r="R13" s="14">
        <f t="shared" si="6"/>
        <v>201959.54</v>
      </c>
      <c r="S13" s="13"/>
      <c r="T13" s="13"/>
      <c r="U13" s="13"/>
      <c r="V13" s="13"/>
      <c r="W13" s="13">
        <v>201959.54</v>
      </c>
      <c r="X13" s="13"/>
      <c r="Y13" s="64">
        <f t="shared" si="7"/>
        <v>76.78596282575678</v>
      </c>
      <c r="Z13" s="65"/>
      <c r="AA13" s="65"/>
      <c r="AB13" s="65"/>
      <c r="AC13" s="65"/>
      <c r="AD13" s="65">
        <f>AR13/AK13</f>
        <v>76.78596282575678</v>
      </c>
      <c r="AE13" s="65"/>
      <c r="AF13" s="14">
        <f>AK13</f>
        <v>1244.41</v>
      </c>
      <c r="AG13" s="13"/>
      <c r="AH13" s="13"/>
      <c r="AI13" s="13"/>
      <c r="AJ13" s="13"/>
      <c r="AK13" s="13">
        <v>1244.41</v>
      </c>
      <c r="AL13" s="13"/>
      <c r="AM13" s="14">
        <f t="shared" si="8"/>
        <v>95553.22</v>
      </c>
      <c r="AN13" s="13"/>
      <c r="AO13" s="13"/>
      <c r="AP13" s="13"/>
      <c r="AQ13" s="13"/>
      <c r="AR13" s="13">
        <v>95553.22</v>
      </c>
      <c r="AS13" s="13"/>
      <c r="AT13" s="14">
        <f t="shared" si="9"/>
        <v>106406.23861476107</v>
      </c>
      <c r="AU13" s="37"/>
      <c r="AV13" s="37"/>
      <c r="AW13" s="37"/>
      <c r="AX13" s="37"/>
      <c r="AY13" s="37">
        <f>(P13-AK13)*I13</f>
        <v>106406.23861476107</v>
      </c>
      <c r="AZ13" s="13"/>
    </row>
    <row r="14" spans="1:52" ht="37.5" customHeight="1">
      <c r="A14" s="38"/>
      <c r="B14" s="54" t="s">
        <v>23</v>
      </c>
      <c r="C14" s="40"/>
      <c r="D14" s="51">
        <f t="shared" si="4"/>
        <v>131.87</v>
      </c>
      <c r="E14" s="45"/>
      <c r="F14" s="52">
        <v>131.87</v>
      </c>
      <c r="G14" s="45"/>
      <c r="H14" s="45"/>
      <c r="I14" s="45"/>
      <c r="J14" s="45"/>
      <c r="K14" s="14">
        <f t="shared" si="5"/>
        <v>1664.354591643285</v>
      </c>
      <c r="L14" s="13"/>
      <c r="M14" s="37">
        <v>1664.35</v>
      </c>
      <c r="N14" s="37"/>
      <c r="O14" s="37"/>
      <c r="P14" s="13"/>
      <c r="Q14" s="37"/>
      <c r="R14" s="15">
        <f t="shared" si="6"/>
        <v>219478.44</v>
      </c>
      <c r="S14" s="13"/>
      <c r="T14" s="13">
        <v>219478.44</v>
      </c>
      <c r="U14" s="13"/>
      <c r="V14" s="13"/>
      <c r="W14" s="13"/>
      <c r="X14" s="13"/>
      <c r="Y14" s="67">
        <f t="shared" si="7"/>
        <v>131.86957674721353</v>
      </c>
      <c r="Z14" s="97"/>
      <c r="AA14" s="97">
        <f>AO14/AH14</f>
        <v>131.86957674721353</v>
      </c>
      <c r="AB14" s="97"/>
      <c r="AC14" s="97"/>
      <c r="AD14" s="97"/>
      <c r="AE14" s="97"/>
      <c r="AF14" s="14">
        <f>AH14</f>
        <v>1244.41</v>
      </c>
      <c r="AG14" s="13"/>
      <c r="AH14" s="13">
        <v>1244.41</v>
      </c>
      <c r="AI14" s="13"/>
      <c r="AJ14" s="13"/>
      <c r="AK14" s="13"/>
      <c r="AL14" s="37"/>
      <c r="AM14" s="15">
        <f t="shared" si="8"/>
        <v>164099.82</v>
      </c>
      <c r="AN14" s="13"/>
      <c r="AO14" s="13">
        <v>164099.82</v>
      </c>
      <c r="AP14" s="13"/>
      <c r="AQ14" s="13"/>
      <c r="AR14" s="13"/>
      <c r="AS14" s="13"/>
      <c r="AT14" s="15">
        <f t="shared" si="9"/>
        <v>55377.48779999998</v>
      </c>
      <c r="AU14" s="37"/>
      <c r="AV14" s="37">
        <f>(M14-AH14)*F14</f>
        <v>55377.48779999998</v>
      </c>
      <c r="AW14" s="37"/>
      <c r="AX14" s="37"/>
      <c r="AY14" s="37"/>
      <c r="AZ14" s="13"/>
    </row>
    <row r="15" spans="1:52" ht="35.25" customHeight="1">
      <c r="A15" s="38"/>
      <c r="B15" s="39" t="s">
        <v>18</v>
      </c>
      <c r="C15" s="40"/>
      <c r="D15" s="75">
        <f t="shared" si="4"/>
        <v>10.802436496010156</v>
      </c>
      <c r="E15" s="42"/>
      <c r="F15" s="42"/>
      <c r="G15" s="76">
        <f>U15/N15</f>
        <v>10.802436496010156</v>
      </c>
      <c r="H15" s="42"/>
      <c r="I15" s="42"/>
      <c r="J15" s="42"/>
      <c r="K15" s="14">
        <f t="shared" si="5"/>
        <v>1244.41</v>
      </c>
      <c r="L15" s="13"/>
      <c r="M15" s="13"/>
      <c r="N15" s="13">
        <v>1244.41</v>
      </c>
      <c r="O15" s="13"/>
      <c r="P15" s="13"/>
      <c r="Q15" s="13"/>
      <c r="R15" s="14">
        <f t="shared" si="6"/>
        <v>13442.66</v>
      </c>
      <c r="S15" s="13"/>
      <c r="T15" s="13"/>
      <c r="U15" s="13">
        <v>13442.66</v>
      </c>
      <c r="V15" s="13"/>
      <c r="W15" s="13"/>
      <c r="X15" s="13"/>
      <c r="Y15" s="64">
        <f t="shared" si="7"/>
        <v>10.802436496010156</v>
      </c>
      <c r="Z15" s="65"/>
      <c r="AA15" s="65"/>
      <c r="AB15" s="65">
        <f>AP15/AI15</f>
        <v>10.802436496010156</v>
      </c>
      <c r="AC15" s="65"/>
      <c r="AD15" s="65"/>
      <c r="AE15" s="65"/>
      <c r="AF15" s="14">
        <f>AI15</f>
        <v>1244.41</v>
      </c>
      <c r="AG15" s="13"/>
      <c r="AH15" s="13"/>
      <c r="AI15" s="13">
        <v>1244.41</v>
      </c>
      <c r="AJ15" s="13"/>
      <c r="AK15" s="13"/>
      <c r="AL15" s="13"/>
      <c r="AM15" s="14">
        <f t="shared" si="8"/>
        <v>13442.66</v>
      </c>
      <c r="AN15" s="13"/>
      <c r="AO15" s="13"/>
      <c r="AP15" s="13">
        <v>13442.66</v>
      </c>
      <c r="AQ15" s="13"/>
      <c r="AR15" s="13"/>
      <c r="AS15" s="13"/>
      <c r="AT15" s="14">
        <f t="shared" si="9"/>
        <v>0</v>
      </c>
      <c r="AU15" s="37"/>
      <c r="AV15" s="37"/>
      <c r="AW15" s="37">
        <f>(N15-AI15)*G15</f>
        <v>0</v>
      </c>
      <c r="AX15" s="37"/>
      <c r="AY15" s="37"/>
      <c r="AZ15" s="13"/>
    </row>
    <row r="16" spans="1:52" ht="56.25" customHeight="1">
      <c r="A16" s="9"/>
      <c r="B16" s="43" t="s">
        <v>41</v>
      </c>
      <c r="C16" s="32"/>
      <c r="D16" s="44">
        <f t="shared" si="4"/>
        <v>2287.03812</v>
      </c>
      <c r="E16" s="45"/>
      <c r="F16" s="46">
        <v>2287.03812</v>
      </c>
      <c r="G16" s="45"/>
      <c r="H16" s="45"/>
      <c r="I16" s="45"/>
      <c r="J16" s="45"/>
      <c r="K16" s="14">
        <f t="shared" si="5"/>
        <v>1602.6199991804244</v>
      </c>
      <c r="L16" s="36"/>
      <c r="M16" s="37">
        <v>1602.62</v>
      </c>
      <c r="N16" s="37"/>
      <c r="O16" s="37"/>
      <c r="P16" s="36"/>
      <c r="Q16" s="13"/>
      <c r="R16" s="15">
        <f t="shared" si="6"/>
        <v>3665253.03</v>
      </c>
      <c r="S16" s="36"/>
      <c r="T16" s="36">
        <v>3665253.03</v>
      </c>
      <c r="U16" s="36"/>
      <c r="V16" s="36"/>
      <c r="W16" s="36"/>
      <c r="X16" s="36"/>
      <c r="Y16" s="67">
        <f t="shared" si="7"/>
        <v>2215.928190869569</v>
      </c>
      <c r="Z16" s="97"/>
      <c r="AA16" s="97">
        <f>AO16/AH16</f>
        <v>2215.928190869569</v>
      </c>
      <c r="AB16" s="97"/>
      <c r="AC16" s="97"/>
      <c r="AD16" s="97"/>
      <c r="AE16" s="97"/>
      <c r="AF16" s="14">
        <f>AH16</f>
        <v>1244.41</v>
      </c>
      <c r="AG16" s="13"/>
      <c r="AH16" s="13">
        <v>1244.41</v>
      </c>
      <c r="AI16" s="13"/>
      <c r="AJ16" s="13"/>
      <c r="AK16" s="13"/>
      <c r="AL16" s="37"/>
      <c r="AM16" s="15">
        <f t="shared" si="8"/>
        <v>2757523.2</v>
      </c>
      <c r="AN16" s="36"/>
      <c r="AO16" s="36">
        <f>241342.73+2516180.47</f>
        <v>2757523.2</v>
      </c>
      <c r="AP16" s="36"/>
      <c r="AQ16" s="36"/>
      <c r="AR16" s="36"/>
      <c r="AS16" s="13"/>
      <c r="AT16" s="15">
        <f t="shared" si="9"/>
        <v>819239.9249651997</v>
      </c>
      <c r="AU16" s="37"/>
      <c r="AV16" s="37">
        <f>(M16-AH16)*F16</f>
        <v>819239.9249651997</v>
      </c>
      <c r="AW16" s="37"/>
      <c r="AX16" s="37"/>
      <c r="AY16" s="37"/>
      <c r="AZ16" s="13"/>
    </row>
    <row r="17" spans="1:52" ht="58.5" customHeight="1">
      <c r="A17" s="38">
        <v>36</v>
      </c>
      <c r="B17" s="39" t="s">
        <v>37</v>
      </c>
      <c r="C17" s="106"/>
      <c r="D17" s="75">
        <f>SUM(E17:J17)</f>
        <v>24.81745</v>
      </c>
      <c r="E17" s="42"/>
      <c r="F17" s="42"/>
      <c r="G17" s="76"/>
      <c r="H17" s="42"/>
      <c r="I17" s="107"/>
      <c r="J17" s="76">
        <v>24.81745</v>
      </c>
      <c r="K17" s="14">
        <f t="shared" si="5"/>
        <v>1131.481276279392</v>
      </c>
      <c r="L17" s="108"/>
      <c r="M17" s="13"/>
      <c r="N17" s="13"/>
      <c r="O17" s="13"/>
      <c r="P17" s="13"/>
      <c r="Q17" s="13">
        <v>1131.5</v>
      </c>
      <c r="R17" s="14">
        <f>SUM(S17:X17)</f>
        <v>28080.48</v>
      </c>
      <c r="S17" s="13"/>
      <c r="T17" s="13"/>
      <c r="U17" s="13"/>
      <c r="V17" s="13"/>
      <c r="W17" s="13"/>
      <c r="X17" s="13">
        <v>28080.48</v>
      </c>
      <c r="Y17" s="64">
        <f>AE17</f>
        <v>24.816669042189282</v>
      </c>
      <c r="Z17" s="65"/>
      <c r="AA17" s="65"/>
      <c r="AB17" s="65"/>
      <c r="AC17" s="65"/>
      <c r="AD17" s="65"/>
      <c r="AE17" s="65">
        <f>AS17/AL17</f>
        <v>24.816669042189282</v>
      </c>
      <c r="AF17" s="14">
        <f>AL17</f>
        <v>1122.56</v>
      </c>
      <c r="AG17" s="13"/>
      <c r="AH17" s="13"/>
      <c r="AI17" s="13"/>
      <c r="AJ17" s="13"/>
      <c r="AK17" s="109"/>
      <c r="AL17" s="109">
        <v>1122.56</v>
      </c>
      <c r="AM17" s="14">
        <f>AS17</f>
        <v>27858.2</v>
      </c>
      <c r="AN17" s="13"/>
      <c r="AO17" s="13"/>
      <c r="AP17" s="13"/>
      <c r="AQ17" s="13"/>
      <c r="AR17" s="13"/>
      <c r="AS17" s="13">
        <v>27858.2</v>
      </c>
      <c r="AT17" s="14">
        <f>SUM(AU17:AZ17)</f>
        <v>221.86800300000135</v>
      </c>
      <c r="AU17" s="13"/>
      <c r="AV17" s="13"/>
      <c r="AW17" s="13"/>
      <c r="AX17" s="13"/>
      <c r="AY17" s="13"/>
      <c r="AZ17" s="37">
        <f>(Q17-AL17)*J17</f>
        <v>221.86800300000135</v>
      </c>
    </row>
    <row r="18" spans="1:52" ht="88.5" customHeight="1" thickBot="1">
      <c r="A18" s="30"/>
      <c r="B18" s="31" t="s">
        <v>38</v>
      </c>
      <c r="D18" s="75">
        <f>SUM(E18:J18)</f>
        <v>130.806</v>
      </c>
      <c r="E18" s="56"/>
      <c r="F18" s="56"/>
      <c r="G18" s="102"/>
      <c r="H18" s="56"/>
      <c r="I18" s="103"/>
      <c r="J18" s="76">
        <v>130.806</v>
      </c>
      <c r="K18" s="14">
        <f t="shared" si="5"/>
        <v>1488.640735134474</v>
      </c>
      <c r="L18" s="104"/>
      <c r="M18" s="36"/>
      <c r="N18" s="36"/>
      <c r="O18" s="36"/>
      <c r="P18" s="36"/>
      <c r="Q18" s="36">
        <v>1488.64</v>
      </c>
      <c r="R18" s="14">
        <f>SUM(S18:X18)</f>
        <v>194723.14</v>
      </c>
      <c r="S18" s="36"/>
      <c r="T18" s="36"/>
      <c r="U18" s="36"/>
      <c r="V18" s="36"/>
      <c r="W18" s="36"/>
      <c r="X18" s="36">
        <v>194723.14</v>
      </c>
      <c r="Y18" s="62">
        <f>AE18</f>
        <v>130.80532889110603</v>
      </c>
      <c r="Z18" s="34"/>
      <c r="AA18" s="34"/>
      <c r="AB18" s="34"/>
      <c r="AC18" s="34"/>
      <c r="AD18" s="34"/>
      <c r="AE18" s="65">
        <f>AS18/AL18</f>
        <v>130.80532889110603</v>
      </c>
      <c r="AF18" s="35">
        <f>AL18</f>
        <v>1122.56</v>
      </c>
      <c r="AG18" s="36"/>
      <c r="AH18" s="36"/>
      <c r="AI18" s="36"/>
      <c r="AJ18" s="36"/>
      <c r="AK18" s="105"/>
      <c r="AL18" s="105">
        <v>1122.56</v>
      </c>
      <c r="AM18" s="35">
        <f>AS18</f>
        <v>146836.83</v>
      </c>
      <c r="AN18" s="36"/>
      <c r="AO18" s="36"/>
      <c r="AP18" s="36"/>
      <c r="AQ18" s="36"/>
      <c r="AR18" s="36"/>
      <c r="AS18" s="36">
        <v>146836.83</v>
      </c>
      <c r="AT18" s="57">
        <f>SUM(AU18:AZ18)</f>
        <v>47885.46048000002</v>
      </c>
      <c r="AU18" s="50"/>
      <c r="AV18" s="50"/>
      <c r="AW18" s="50"/>
      <c r="AX18" s="50"/>
      <c r="AY18" s="50"/>
      <c r="AZ18" s="37">
        <f>(Q18-AL18)*J18</f>
        <v>47885.46048000002</v>
      </c>
    </row>
    <row r="19" spans="1:65" s="29" customFormat="1" ht="43.5" customHeight="1" thickBot="1">
      <c r="A19" s="23">
        <v>2</v>
      </c>
      <c r="B19" s="24" t="s">
        <v>0</v>
      </c>
      <c r="C19" s="58" t="s">
        <v>5</v>
      </c>
      <c r="D19" s="26">
        <f aca="true" t="shared" si="10" ref="D19:J19">SUM(D20:D26)</f>
        <v>26035.680720363696</v>
      </c>
      <c r="E19" s="59">
        <f t="shared" si="10"/>
        <v>638.296</v>
      </c>
      <c r="F19" s="59">
        <f t="shared" si="10"/>
        <v>11302.867720363698</v>
      </c>
      <c r="G19" s="59">
        <f t="shared" si="10"/>
        <v>8100.0391</v>
      </c>
      <c r="H19" s="59">
        <f t="shared" si="10"/>
        <v>1274.4575</v>
      </c>
      <c r="I19" s="59">
        <f t="shared" si="10"/>
        <v>4580.8394</v>
      </c>
      <c r="J19" s="59">
        <f t="shared" si="10"/>
        <v>139.181</v>
      </c>
      <c r="K19" s="27">
        <f t="shared" si="5"/>
        <v>148.28717333979</v>
      </c>
      <c r="L19" s="61">
        <f aca="true" t="shared" si="11" ref="L19:Q19">S19/E19</f>
        <v>167.4935609811122</v>
      </c>
      <c r="M19" s="27">
        <f t="shared" si="11"/>
        <v>121.00372700424658</v>
      </c>
      <c r="N19" s="27">
        <f t="shared" si="11"/>
        <v>170.95314144841595</v>
      </c>
      <c r="O19" s="27">
        <f t="shared" si="11"/>
        <v>167.49350213718387</v>
      </c>
      <c r="P19" s="27">
        <f t="shared" si="11"/>
        <v>169.30433317526914</v>
      </c>
      <c r="Q19" s="27">
        <f t="shared" si="11"/>
        <v>89.1750310746438</v>
      </c>
      <c r="R19" s="27">
        <f aca="true" t="shared" si="12" ref="R19:AE19">SUM(R20:R26)</f>
        <v>3860757.5</v>
      </c>
      <c r="S19" s="27">
        <f t="shared" si="12"/>
        <v>106910.47</v>
      </c>
      <c r="T19" s="27">
        <f t="shared" si="12"/>
        <v>1367689.1199999999</v>
      </c>
      <c r="U19" s="27">
        <f t="shared" si="12"/>
        <v>1384727.13</v>
      </c>
      <c r="V19" s="27">
        <f t="shared" si="12"/>
        <v>213463.35</v>
      </c>
      <c r="W19" s="27">
        <f t="shared" si="12"/>
        <v>775555.96</v>
      </c>
      <c r="X19" s="27">
        <f t="shared" si="12"/>
        <v>12411.47</v>
      </c>
      <c r="Y19" s="59">
        <f t="shared" si="12"/>
        <v>26031.72528797214</v>
      </c>
      <c r="Z19" s="59">
        <f t="shared" si="12"/>
        <v>638.296008572194</v>
      </c>
      <c r="AA19" s="59">
        <f t="shared" si="12"/>
        <v>11302.91374229842</v>
      </c>
      <c r="AB19" s="59">
        <f t="shared" si="12"/>
        <v>8100.038976694347</v>
      </c>
      <c r="AC19" s="59">
        <f t="shared" si="12"/>
        <v>1274.4575408518617</v>
      </c>
      <c r="AD19" s="59">
        <f t="shared" si="12"/>
        <v>4576.837664077149</v>
      </c>
      <c r="AE19" s="59">
        <f t="shared" si="12"/>
        <v>139.18135547816772</v>
      </c>
      <c r="AF19" s="27">
        <f>AG19</f>
        <v>74.66</v>
      </c>
      <c r="AG19" s="27">
        <f>AG22</f>
        <v>74.66</v>
      </c>
      <c r="AH19" s="27">
        <f>AH22</f>
        <v>74.66</v>
      </c>
      <c r="AI19" s="27">
        <f>AI22</f>
        <v>74.66</v>
      </c>
      <c r="AJ19" s="27">
        <f>AJ22</f>
        <v>74.66</v>
      </c>
      <c r="AK19" s="28">
        <f>AK22</f>
        <v>74.66</v>
      </c>
      <c r="AL19" s="27">
        <f>AL26</f>
        <v>74.66</v>
      </c>
      <c r="AM19" s="27">
        <f aca="true" t="shared" si="13" ref="AM19:AZ19">SUM(AM20:AM26)</f>
        <v>1943528.6099999999</v>
      </c>
      <c r="AN19" s="27">
        <f t="shared" si="13"/>
        <v>47655.18</v>
      </c>
      <c r="AO19" s="27">
        <f t="shared" si="13"/>
        <v>843875.5399999999</v>
      </c>
      <c r="AP19" s="27">
        <f t="shared" si="13"/>
        <v>604748.91</v>
      </c>
      <c r="AQ19" s="27">
        <f t="shared" si="13"/>
        <v>95151</v>
      </c>
      <c r="AR19" s="27">
        <f t="shared" si="13"/>
        <v>341706.7</v>
      </c>
      <c r="AS19" s="27">
        <f t="shared" si="13"/>
        <v>10391.28</v>
      </c>
      <c r="AT19" s="118">
        <f t="shared" si="13"/>
        <v>1916900.4784646465</v>
      </c>
      <c r="AU19" s="27">
        <f t="shared" si="13"/>
        <v>59253.01768000001</v>
      </c>
      <c r="AV19" s="27">
        <f t="shared" si="13"/>
        <v>523817.9823806464</v>
      </c>
      <c r="AW19" s="27">
        <f t="shared" si="13"/>
        <v>779953.3016530002</v>
      </c>
      <c r="AX19" s="27">
        <f t="shared" si="13"/>
        <v>118307.88972500002</v>
      </c>
      <c r="AY19" s="27">
        <f t="shared" si="13"/>
        <v>433548.77071600006</v>
      </c>
      <c r="AZ19" s="27">
        <f t="shared" si="13"/>
        <v>2019.5163100000009</v>
      </c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</row>
    <row r="20" spans="1:52" s="4" customFormat="1" ht="41.25" customHeight="1">
      <c r="A20" s="70"/>
      <c r="B20" s="47" t="s">
        <v>24</v>
      </c>
      <c r="C20" s="47"/>
      <c r="D20" s="64">
        <f aca="true" t="shared" si="14" ref="D20:D25">SUM(E20:I20)</f>
        <v>300.2</v>
      </c>
      <c r="E20" s="69"/>
      <c r="F20" s="69"/>
      <c r="G20" s="69">
        <v>300.2</v>
      </c>
      <c r="H20" s="69"/>
      <c r="I20" s="69"/>
      <c r="J20" s="34"/>
      <c r="K20" s="14">
        <f t="shared" si="5"/>
        <v>260.83924050632913</v>
      </c>
      <c r="L20" s="50"/>
      <c r="M20" s="73"/>
      <c r="N20" s="131">
        <v>260.85</v>
      </c>
      <c r="O20" s="50"/>
      <c r="P20" s="50"/>
      <c r="Q20" s="50"/>
      <c r="R20" s="63">
        <f aca="true" t="shared" si="15" ref="R20:R25">SUM(S20:W20)</f>
        <v>78303.94</v>
      </c>
      <c r="S20" s="50"/>
      <c r="T20" s="50"/>
      <c r="U20" s="50">
        <v>78303.94</v>
      </c>
      <c r="V20" s="73"/>
      <c r="W20" s="73"/>
      <c r="X20" s="73"/>
      <c r="Y20" s="100">
        <f aca="true" t="shared" si="16" ref="Y20:Y25">SUM(Z20:AD20)</f>
        <v>300.1998392713635</v>
      </c>
      <c r="Z20" s="98"/>
      <c r="AA20" s="98"/>
      <c r="AB20" s="98">
        <f>AP20/AI20</f>
        <v>300.1998392713635</v>
      </c>
      <c r="AC20" s="98"/>
      <c r="AD20" s="98"/>
      <c r="AE20" s="98"/>
      <c r="AF20" s="63">
        <f>AI20</f>
        <v>74.66</v>
      </c>
      <c r="AG20" s="73"/>
      <c r="AH20" s="73"/>
      <c r="AI20" s="73">
        <v>74.66</v>
      </c>
      <c r="AJ20" s="73"/>
      <c r="AK20" s="73"/>
      <c r="AL20" s="73"/>
      <c r="AM20" s="63">
        <f aca="true" t="shared" si="17" ref="AM20:AM25">SUM(AN20:AR20)</f>
        <v>22412.92</v>
      </c>
      <c r="AN20" s="73"/>
      <c r="AO20" s="73"/>
      <c r="AP20" s="73">
        <v>22412.92</v>
      </c>
      <c r="AQ20" s="73"/>
      <c r="AR20" s="73"/>
      <c r="AS20" s="73"/>
      <c r="AT20" s="63">
        <f aca="true" t="shared" si="18" ref="AT20:AT25">SUM(AU20:AY20)</f>
        <v>55894.238000000005</v>
      </c>
      <c r="AU20" s="73"/>
      <c r="AV20" s="73"/>
      <c r="AW20" s="37">
        <f>(N20-AI20)*G20</f>
        <v>55894.238000000005</v>
      </c>
      <c r="AX20" s="73"/>
      <c r="AY20" s="73"/>
      <c r="AZ20" s="73"/>
    </row>
    <row r="21" spans="1:52" s="4" customFormat="1" ht="58.5" customHeight="1">
      <c r="A21" s="66"/>
      <c r="B21" s="55" t="s">
        <v>43</v>
      </c>
      <c r="C21" s="47"/>
      <c r="D21" s="62">
        <f t="shared" si="14"/>
        <v>364.336</v>
      </c>
      <c r="E21" s="68"/>
      <c r="F21" s="69">
        <v>364.336</v>
      </c>
      <c r="G21" s="69"/>
      <c r="H21" s="69"/>
      <c r="I21" s="69"/>
      <c r="J21" s="69"/>
      <c r="K21" s="57">
        <f t="shared" si="5"/>
        <v>106.1763591849282</v>
      </c>
      <c r="L21" s="50"/>
      <c r="M21" s="36">
        <v>106.18</v>
      </c>
      <c r="N21" s="50"/>
      <c r="O21" s="50"/>
      <c r="P21" s="50"/>
      <c r="Q21" s="50"/>
      <c r="R21" s="35">
        <f t="shared" si="15"/>
        <v>38683.87</v>
      </c>
      <c r="S21" s="50"/>
      <c r="T21" s="50">
        <v>38683.87</v>
      </c>
      <c r="U21" s="50"/>
      <c r="V21" s="36"/>
      <c r="W21" s="36"/>
      <c r="X21" s="36"/>
      <c r="Y21" s="62">
        <f t="shared" si="16"/>
        <v>364.3356549691937</v>
      </c>
      <c r="Z21" s="34"/>
      <c r="AA21" s="34">
        <f>AO21/AH21</f>
        <v>364.3356549691937</v>
      </c>
      <c r="AB21" s="34"/>
      <c r="AC21" s="34"/>
      <c r="AD21" s="34"/>
      <c r="AE21" s="34"/>
      <c r="AF21" s="35">
        <f>AH21</f>
        <v>74.66</v>
      </c>
      <c r="AG21" s="36"/>
      <c r="AH21" s="36">
        <v>74.66</v>
      </c>
      <c r="AI21" s="36"/>
      <c r="AJ21" s="36"/>
      <c r="AK21" s="36"/>
      <c r="AL21" s="36"/>
      <c r="AM21" s="35">
        <f t="shared" si="17"/>
        <v>27201.3</v>
      </c>
      <c r="AN21" s="36"/>
      <c r="AO21" s="36">
        <v>27201.3</v>
      </c>
      <c r="AP21" s="36"/>
      <c r="AQ21" s="36"/>
      <c r="AR21" s="36"/>
      <c r="AS21" s="36"/>
      <c r="AT21" s="35">
        <f t="shared" si="18"/>
        <v>11483.870720000004</v>
      </c>
      <c r="AU21" s="13"/>
      <c r="AV21" s="13">
        <f>(M21-AH21)*F21</f>
        <v>11483.870720000004</v>
      </c>
      <c r="AW21" s="13"/>
      <c r="AX21" s="13"/>
      <c r="AY21" s="13"/>
      <c r="AZ21" s="36"/>
    </row>
    <row r="22" spans="1:52" ht="40.5" customHeight="1">
      <c r="A22" s="9"/>
      <c r="B22" s="39" t="s">
        <v>35</v>
      </c>
      <c r="C22" s="40"/>
      <c r="D22" s="64">
        <f t="shared" si="14"/>
        <v>14404.4767</v>
      </c>
      <c r="E22" s="65">
        <v>638.296</v>
      </c>
      <c r="F22" s="65">
        <v>590.2407</v>
      </c>
      <c r="G22" s="65">
        <v>7799.8391</v>
      </c>
      <c r="H22" s="65">
        <v>1274.4575</v>
      </c>
      <c r="I22" s="65">
        <v>4101.6434</v>
      </c>
      <c r="J22" s="65"/>
      <c r="K22" s="14">
        <f t="shared" si="5"/>
        <v>168.5374964020734</v>
      </c>
      <c r="L22" s="13">
        <v>167.49</v>
      </c>
      <c r="M22" s="13">
        <f>L22</f>
        <v>167.49</v>
      </c>
      <c r="N22" s="13">
        <f>L22</f>
        <v>167.49</v>
      </c>
      <c r="O22" s="13">
        <f>L22</f>
        <v>167.49</v>
      </c>
      <c r="P22" s="130">
        <f>W22/I22</f>
        <v>171.15968443283003</v>
      </c>
      <c r="Q22" s="13"/>
      <c r="R22" s="14">
        <f t="shared" si="15"/>
        <v>2427694.44</v>
      </c>
      <c r="S22" s="13">
        <v>106910.47</v>
      </c>
      <c r="T22" s="13">
        <v>98861.44</v>
      </c>
      <c r="U22" s="13">
        <v>1306423.19</v>
      </c>
      <c r="V22" s="13">
        <v>213463.35</v>
      </c>
      <c r="W22" s="13">
        <v>702035.99</v>
      </c>
      <c r="X22" s="13"/>
      <c r="Y22" s="64">
        <f t="shared" si="16"/>
        <v>14400.475221001874</v>
      </c>
      <c r="Z22" s="65">
        <f>AN22/AG22</f>
        <v>638.296008572194</v>
      </c>
      <c r="AA22" s="65">
        <f>AO22/AH22</f>
        <v>590.2406911331369</v>
      </c>
      <c r="AB22" s="65">
        <f>AP22/AI22</f>
        <v>7799.839137422984</v>
      </c>
      <c r="AC22" s="65">
        <f>AQ22/AJ22</f>
        <v>1274.4575408518617</v>
      </c>
      <c r="AD22" s="65">
        <f>AR22/AK22</f>
        <v>4097.641843021698</v>
      </c>
      <c r="AE22" s="65"/>
      <c r="AF22" s="14">
        <f>AG22</f>
        <v>74.66</v>
      </c>
      <c r="AG22" s="13">
        <v>74.66</v>
      </c>
      <c r="AH22" s="13">
        <v>74.66</v>
      </c>
      <c r="AI22" s="13">
        <v>74.66</v>
      </c>
      <c r="AJ22" s="13">
        <v>74.66</v>
      </c>
      <c r="AK22" s="13">
        <v>74.66</v>
      </c>
      <c r="AL22" s="13"/>
      <c r="AM22" s="14">
        <f t="shared" si="17"/>
        <v>1075139.48</v>
      </c>
      <c r="AN22" s="13">
        <f>47655.18</f>
        <v>47655.18</v>
      </c>
      <c r="AO22" s="13">
        <f>44067.37</f>
        <v>44067.37</v>
      </c>
      <c r="AP22" s="13">
        <f>225981.26+356354.73</f>
        <v>582335.99</v>
      </c>
      <c r="AQ22" s="13">
        <f>95151</f>
        <v>95151</v>
      </c>
      <c r="AR22" s="13">
        <f>305351.18+578.76</f>
        <v>305929.94</v>
      </c>
      <c r="AS22" s="13"/>
      <c r="AT22" s="14">
        <f t="shared" si="18"/>
        <v>1352219.3089950003</v>
      </c>
      <c r="AU22" s="37">
        <f>(L22-AG22)*E22</f>
        <v>59253.01768000001</v>
      </c>
      <c r="AV22" s="37">
        <f>(M22-AH22)*F22</f>
        <v>54792.044181000005</v>
      </c>
      <c r="AW22" s="37">
        <f>(N22-AI22)*G22</f>
        <v>724059.0636530002</v>
      </c>
      <c r="AX22" s="37">
        <f>(O22-AJ22)*H22</f>
        <v>118307.88972500002</v>
      </c>
      <c r="AY22" s="37">
        <f>(P22-AK22)*I22</f>
        <v>395807.29375600006</v>
      </c>
      <c r="AZ22" s="13"/>
    </row>
    <row r="23" spans="1:52" s="4" customFormat="1" ht="42" customHeight="1">
      <c r="A23" s="66"/>
      <c r="B23" s="39" t="s">
        <v>23</v>
      </c>
      <c r="C23" s="39"/>
      <c r="D23" s="64">
        <f t="shared" si="14"/>
        <v>462.362</v>
      </c>
      <c r="E23" s="65"/>
      <c r="F23" s="65">
        <v>462.362</v>
      </c>
      <c r="G23" s="65"/>
      <c r="H23" s="65"/>
      <c r="I23" s="65"/>
      <c r="J23" s="65"/>
      <c r="K23" s="14">
        <f t="shared" si="5"/>
        <v>109.12639879574878</v>
      </c>
      <c r="L23" s="13"/>
      <c r="M23" s="13">
        <v>109.13</v>
      </c>
      <c r="N23" s="13"/>
      <c r="O23" s="13"/>
      <c r="P23" s="13"/>
      <c r="Q23" s="13"/>
      <c r="R23" s="14">
        <f t="shared" si="15"/>
        <v>50455.9</v>
      </c>
      <c r="S23" s="13"/>
      <c r="T23" s="13">
        <v>50455.9</v>
      </c>
      <c r="U23" s="13"/>
      <c r="V23" s="13"/>
      <c r="W23" s="13"/>
      <c r="X23" s="13"/>
      <c r="Y23" s="64">
        <f t="shared" si="16"/>
        <v>462.36163943209215</v>
      </c>
      <c r="Z23" s="65"/>
      <c r="AA23" s="65">
        <f>AO23/AH23</f>
        <v>462.36163943209215</v>
      </c>
      <c r="AB23" s="65"/>
      <c r="AC23" s="65"/>
      <c r="AD23" s="65"/>
      <c r="AE23" s="65"/>
      <c r="AF23" s="14">
        <f>AH23</f>
        <v>74.66</v>
      </c>
      <c r="AG23" s="13"/>
      <c r="AH23" s="13">
        <v>74.66</v>
      </c>
      <c r="AI23" s="13"/>
      <c r="AJ23" s="13"/>
      <c r="AK23" s="13"/>
      <c r="AL23" s="13"/>
      <c r="AM23" s="14">
        <f t="shared" si="17"/>
        <v>34519.92</v>
      </c>
      <c r="AN23" s="13"/>
      <c r="AO23" s="13">
        <v>34519.92</v>
      </c>
      <c r="AP23" s="13"/>
      <c r="AQ23" s="13"/>
      <c r="AR23" s="13"/>
      <c r="AS23" s="13"/>
      <c r="AT23" s="14">
        <f t="shared" si="18"/>
        <v>15937.61814</v>
      </c>
      <c r="AU23" s="13"/>
      <c r="AV23" s="37">
        <f>(M23-AH23)*F23</f>
        <v>15937.61814</v>
      </c>
      <c r="AW23" s="13"/>
      <c r="AX23" s="13"/>
      <c r="AY23" s="13"/>
      <c r="AZ23" s="13"/>
    </row>
    <row r="24" spans="1:52" s="4" customFormat="1" ht="57" customHeight="1">
      <c r="A24" s="66"/>
      <c r="B24" s="43" t="s">
        <v>41</v>
      </c>
      <c r="C24" s="43"/>
      <c r="D24" s="67">
        <f t="shared" si="14"/>
        <v>9885.929020363697</v>
      </c>
      <c r="E24" s="34"/>
      <c r="F24" s="97">
        <f>T24/M24</f>
        <v>9885.929020363697</v>
      </c>
      <c r="G24" s="34"/>
      <c r="H24" s="34"/>
      <c r="I24" s="97"/>
      <c r="J24" s="97"/>
      <c r="K24" s="15">
        <f t="shared" si="5"/>
        <v>119.32999999999998</v>
      </c>
      <c r="L24" s="37"/>
      <c r="M24" s="139">
        <v>119.33</v>
      </c>
      <c r="N24" s="37"/>
      <c r="O24" s="37"/>
      <c r="P24" s="37"/>
      <c r="Q24" s="37"/>
      <c r="R24" s="15">
        <f t="shared" si="15"/>
        <v>1179687.91</v>
      </c>
      <c r="S24" s="37"/>
      <c r="T24" s="37">
        <v>1179687.91</v>
      </c>
      <c r="U24" s="37"/>
      <c r="V24" s="37"/>
      <c r="W24" s="37"/>
      <c r="X24" s="37"/>
      <c r="Y24" s="67">
        <f t="shared" si="16"/>
        <v>9885.975756763997</v>
      </c>
      <c r="Z24" s="97"/>
      <c r="AA24" s="97">
        <f>AO24/AH24</f>
        <v>9885.975756763997</v>
      </c>
      <c r="AB24" s="97"/>
      <c r="AC24" s="97"/>
      <c r="AD24" s="97"/>
      <c r="AE24" s="97"/>
      <c r="AF24" s="15">
        <f>AH24</f>
        <v>74.66</v>
      </c>
      <c r="AG24" s="37"/>
      <c r="AH24" s="37">
        <v>74.66</v>
      </c>
      <c r="AI24" s="37"/>
      <c r="AJ24" s="37"/>
      <c r="AK24" s="37"/>
      <c r="AL24" s="37"/>
      <c r="AM24" s="15">
        <f t="shared" si="17"/>
        <v>738086.95</v>
      </c>
      <c r="AN24" s="37"/>
      <c r="AO24" s="36">
        <f>45494.94+692592.01</f>
        <v>738086.95</v>
      </c>
      <c r="AP24" s="37"/>
      <c r="AQ24" s="37"/>
      <c r="AR24" s="37"/>
      <c r="AS24" s="37"/>
      <c r="AT24" s="15">
        <f t="shared" si="18"/>
        <v>441604.4493396464</v>
      </c>
      <c r="AU24" s="37"/>
      <c r="AV24" s="37">
        <f>(M24-AH24)*F24</f>
        <v>441604.4493396464</v>
      </c>
      <c r="AW24" s="37"/>
      <c r="AX24" s="37"/>
      <c r="AY24" s="37"/>
      <c r="AZ24" s="37"/>
    </row>
    <row r="25" spans="1:52" ht="65.25" customHeight="1">
      <c r="A25" s="9"/>
      <c r="B25" s="39" t="s">
        <v>42</v>
      </c>
      <c r="C25" s="40"/>
      <c r="D25" s="64">
        <f t="shared" si="14"/>
        <v>479.196</v>
      </c>
      <c r="E25" s="65"/>
      <c r="F25" s="65"/>
      <c r="G25" s="65"/>
      <c r="H25" s="65"/>
      <c r="I25" s="65">
        <v>479.196</v>
      </c>
      <c r="J25" s="65"/>
      <c r="K25" s="14">
        <f t="shared" si="5"/>
        <v>153.42358867770182</v>
      </c>
      <c r="L25" s="13"/>
      <c r="M25" s="13"/>
      <c r="N25" s="13"/>
      <c r="O25" s="13"/>
      <c r="P25" s="13">
        <v>153.42</v>
      </c>
      <c r="Q25" s="13"/>
      <c r="R25" s="14">
        <f t="shared" si="15"/>
        <v>73519.97</v>
      </c>
      <c r="S25" s="13"/>
      <c r="T25" s="13"/>
      <c r="U25" s="13"/>
      <c r="V25" s="13"/>
      <c r="W25" s="13">
        <v>73519.97</v>
      </c>
      <c r="X25" s="13"/>
      <c r="Y25" s="64">
        <f t="shared" si="16"/>
        <v>479.1958210554514</v>
      </c>
      <c r="Z25" s="65"/>
      <c r="AA25" s="65"/>
      <c r="AB25" s="65"/>
      <c r="AC25" s="65"/>
      <c r="AD25" s="65">
        <f>AR25/AK25</f>
        <v>479.1958210554514</v>
      </c>
      <c r="AE25" s="65"/>
      <c r="AF25" s="14">
        <f>AK25</f>
        <v>74.66</v>
      </c>
      <c r="AG25" s="13"/>
      <c r="AH25" s="13"/>
      <c r="AI25" s="13"/>
      <c r="AJ25" s="13"/>
      <c r="AK25" s="37">
        <v>74.66</v>
      </c>
      <c r="AL25" s="13"/>
      <c r="AM25" s="14">
        <f t="shared" si="17"/>
        <v>35776.76</v>
      </c>
      <c r="AN25" s="13"/>
      <c r="AO25" s="13"/>
      <c r="AP25" s="13"/>
      <c r="AQ25" s="13"/>
      <c r="AR25" s="13">
        <v>35776.76</v>
      </c>
      <c r="AS25" s="13"/>
      <c r="AT25" s="14">
        <f t="shared" si="18"/>
        <v>37741.47696</v>
      </c>
      <c r="AU25" s="37"/>
      <c r="AV25" s="37"/>
      <c r="AW25" s="37"/>
      <c r="AX25" s="37"/>
      <c r="AY25" s="37">
        <f>(P25-AK25)*I25</f>
        <v>37741.47696</v>
      </c>
      <c r="AZ25" s="13"/>
    </row>
    <row r="26" spans="1:52" ht="58.5" customHeight="1" thickBot="1">
      <c r="A26" s="38">
        <v>36</v>
      </c>
      <c r="B26" s="39" t="s">
        <v>37</v>
      </c>
      <c r="C26" s="106"/>
      <c r="D26" s="62">
        <f>SUM(E26:J26)</f>
        <v>139.181</v>
      </c>
      <c r="E26" s="42"/>
      <c r="F26" s="42"/>
      <c r="G26" s="76"/>
      <c r="H26" s="42"/>
      <c r="I26" s="107"/>
      <c r="J26" s="69">
        <v>139.181</v>
      </c>
      <c r="K26" s="35">
        <f t="shared" si="5"/>
        <v>89.1750310746438</v>
      </c>
      <c r="L26" s="108"/>
      <c r="M26" s="13"/>
      <c r="N26" s="13"/>
      <c r="O26" s="13"/>
      <c r="P26" s="13"/>
      <c r="Q26" s="13">
        <v>89.17</v>
      </c>
      <c r="R26" s="57">
        <f>SUM(S26:X26)</f>
        <v>12411.47</v>
      </c>
      <c r="S26" s="13"/>
      <c r="T26" s="13"/>
      <c r="U26" s="13"/>
      <c r="V26" s="13"/>
      <c r="W26" s="13"/>
      <c r="X26" s="13">
        <v>12411.47</v>
      </c>
      <c r="Y26" s="64">
        <f>AE26</f>
        <v>139.18135547816772</v>
      </c>
      <c r="Z26" s="65"/>
      <c r="AA26" s="65"/>
      <c r="AB26" s="65"/>
      <c r="AC26" s="65"/>
      <c r="AD26" s="65"/>
      <c r="AE26" s="65">
        <f>AS26/AL26</f>
        <v>139.18135547816772</v>
      </c>
      <c r="AF26" s="14">
        <f>AL26</f>
        <v>74.66</v>
      </c>
      <c r="AG26" s="13"/>
      <c r="AH26" s="13"/>
      <c r="AI26" s="13"/>
      <c r="AJ26" s="13"/>
      <c r="AK26" s="109"/>
      <c r="AL26" s="109">
        <v>74.66</v>
      </c>
      <c r="AM26" s="14">
        <f>AS26</f>
        <v>10391.28</v>
      </c>
      <c r="AN26" s="13"/>
      <c r="AO26" s="13"/>
      <c r="AP26" s="13"/>
      <c r="AQ26" s="13"/>
      <c r="AR26" s="13"/>
      <c r="AS26" s="13">
        <v>10391.28</v>
      </c>
      <c r="AT26" s="57">
        <f>SUM(AU26:AZ26)</f>
        <v>2019.5163100000009</v>
      </c>
      <c r="AU26" s="36"/>
      <c r="AV26" s="36"/>
      <c r="AW26" s="36"/>
      <c r="AX26" s="36"/>
      <c r="AY26" s="36"/>
      <c r="AZ26" s="37">
        <f>(Q26-AL26)*J26</f>
        <v>2019.5163100000009</v>
      </c>
    </row>
    <row r="27" spans="1:65" s="29" customFormat="1" ht="43.5" customHeight="1" thickBot="1">
      <c r="A27" s="23">
        <v>3</v>
      </c>
      <c r="B27" s="24" t="s">
        <v>1</v>
      </c>
      <c r="C27" s="24" t="s">
        <v>5</v>
      </c>
      <c r="D27" s="71">
        <f aca="true" t="shared" si="19" ref="D27:J27">SUM(D28:D36)</f>
        <v>72366.162</v>
      </c>
      <c r="E27" s="71">
        <f t="shared" si="19"/>
        <v>9373.51</v>
      </c>
      <c r="F27" s="71">
        <f t="shared" si="19"/>
        <v>30208.37</v>
      </c>
      <c r="G27" s="71">
        <f t="shared" si="19"/>
        <v>14338.119999999999</v>
      </c>
      <c r="H27" s="71">
        <f t="shared" si="19"/>
        <v>9011.37</v>
      </c>
      <c r="I27" s="71">
        <f t="shared" si="19"/>
        <v>8555.152</v>
      </c>
      <c r="J27" s="71">
        <f t="shared" si="19"/>
        <v>879.64</v>
      </c>
      <c r="K27" s="28">
        <f t="shared" si="5"/>
        <v>22.93685258588123</v>
      </c>
      <c r="L27" s="28">
        <f aca="true" t="shared" si="20" ref="L27:Q27">S27/E27</f>
        <v>24.846953809192073</v>
      </c>
      <c r="M27" s="28">
        <f t="shared" si="20"/>
        <v>24.913707028879745</v>
      </c>
      <c r="N27" s="28">
        <f t="shared" si="20"/>
        <v>20.411425626232727</v>
      </c>
      <c r="O27" s="28">
        <f t="shared" si="20"/>
        <v>19.95379947777086</v>
      </c>
      <c r="P27" s="28">
        <f t="shared" si="20"/>
        <v>20.65092005378747</v>
      </c>
      <c r="Q27" s="28">
        <f t="shared" si="20"/>
        <v>28.65040243736074</v>
      </c>
      <c r="R27" s="28">
        <f aca="true" t="shared" si="21" ref="R27:AE27">SUM(R28:R36)</f>
        <v>1659851.99</v>
      </c>
      <c r="S27" s="28">
        <f t="shared" si="21"/>
        <v>232903.16999999998</v>
      </c>
      <c r="T27" s="28">
        <f t="shared" si="21"/>
        <v>752602.48</v>
      </c>
      <c r="U27" s="28">
        <f t="shared" si="21"/>
        <v>292661.47</v>
      </c>
      <c r="V27" s="28">
        <f t="shared" si="21"/>
        <v>179811.07</v>
      </c>
      <c r="W27" s="28">
        <f t="shared" si="21"/>
        <v>176671.75999999998</v>
      </c>
      <c r="X27" s="28">
        <f t="shared" si="21"/>
        <v>25202.04</v>
      </c>
      <c r="Y27" s="60">
        <f t="shared" si="21"/>
        <v>73528.6074765299</v>
      </c>
      <c r="Z27" s="60">
        <f t="shared" si="21"/>
        <v>9348.237538148525</v>
      </c>
      <c r="AA27" s="60">
        <f t="shared" si="21"/>
        <v>30460.51017293998</v>
      </c>
      <c r="AB27" s="60">
        <f t="shared" si="21"/>
        <v>14370.57820383451</v>
      </c>
      <c r="AC27" s="60">
        <f t="shared" si="21"/>
        <v>10483.919837645864</v>
      </c>
      <c r="AD27" s="60">
        <f t="shared" si="21"/>
        <v>7985.723447922011</v>
      </c>
      <c r="AE27" s="60">
        <f t="shared" si="21"/>
        <v>879.6382760389945</v>
      </c>
      <c r="AF27" s="28">
        <f aca="true" t="shared" si="22" ref="AF27:AF45">AM27/Y27</f>
        <v>19.67790292318323</v>
      </c>
      <c r="AG27" s="28">
        <f>AG32</f>
        <v>19.66</v>
      </c>
      <c r="AH27" s="101">
        <f>AO27/AA27</f>
        <v>19.659999999999997</v>
      </c>
      <c r="AI27" s="101">
        <f>AI32</f>
        <v>19.82</v>
      </c>
      <c r="AJ27" s="101">
        <f>AJ32</f>
        <v>19.71</v>
      </c>
      <c r="AK27" s="101">
        <f>AK32</f>
        <v>19.49</v>
      </c>
      <c r="AL27" s="101">
        <f>AL33</f>
        <v>19.49</v>
      </c>
      <c r="AM27" s="101">
        <f aca="true" t="shared" si="23" ref="AM27:AZ27">SUM(AM28:AM36)</f>
        <v>1446888.7999999998</v>
      </c>
      <c r="AN27" s="119">
        <f t="shared" si="23"/>
        <v>183786.34999999998</v>
      </c>
      <c r="AO27" s="119">
        <f t="shared" si="23"/>
        <v>598853.6299999999</v>
      </c>
      <c r="AP27" s="119">
        <f t="shared" si="23"/>
        <v>284824.86</v>
      </c>
      <c r="AQ27" s="119">
        <f t="shared" si="23"/>
        <v>206638.06</v>
      </c>
      <c r="AR27" s="119">
        <f t="shared" si="23"/>
        <v>155641.74999999997</v>
      </c>
      <c r="AS27" s="119">
        <f t="shared" si="23"/>
        <v>17144.15</v>
      </c>
      <c r="AT27" s="118">
        <f t="shared" si="23"/>
        <v>235819.26773999995</v>
      </c>
      <c r="AU27" s="28">
        <f t="shared" si="23"/>
        <v>48602.13789999999</v>
      </c>
      <c r="AV27" s="28">
        <f t="shared" si="23"/>
        <v>158670.57387999998</v>
      </c>
      <c r="AW27" s="28">
        <f t="shared" si="23"/>
        <v>8427.328599999984</v>
      </c>
      <c r="AX27" s="28">
        <f t="shared" si="23"/>
        <v>2162.728799999986</v>
      </c>
      <c r="AY27" s="28">
        <f t="shared" si="23"/>
        <v>9898.996160000008</v>
      </c>
      <c r="AZ27" s="28">
        <f t="shared" si="23"/>
        <v>8057.5024</v>
      </c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</row>
    <row r="28" spans="1:52" ht="51" customHeight="1">
      <c r="A28" s="74"/>
      <c r="B28" s="47" t="s">
        <v>20</v>
      </c>
      <c r="C28" s="32"/>
      <c r="D28" s="75">
        <f aca="true" t="shared" si="24" ref="D28:D36">SUM(E28:J28)</f>
        <v>154</v>
      </c>
      <c r="E28" s="76">
        <v>154</v>
      </c>
      <c r="F28" s="76"/>
      <c r="G28" s="76"/>
      <c r="H28" s="76"/>
      <c r="I28" s="76"/>
      <c r="J28" s="76"/>
      <c r="K28" s="14">
        <f t="shared" si="5"/>
        <v>34.99883116883117</v>
      </c>
      <c r="L28" s="37">
        <v>35</v>
      </c>
      <c r="M28" s="36"/>
      <c r="N28" s="36"/>
      <c r="O28" s="37"/>
      <c r="P28" s="37"/>
      <c r="Q28" s="37"/>
      <c r="R28" s="14">
        <f aca="true" t="shared" si="25" ref="R28:R36">SUM(S28:X28)</f>
        <v>5389.82</v>
      </c>
      <c r="S28" s="36">
        <v>5389.82</v>
      </c>
      <c r="T28" s="36"/>
      <c r="U28" s="36"/>
      <c r="V28" s="13"/>
      <c r="W28" s="13"/>
      <c r="X28" s="13"/>
      <c r="Y28" s="64">
        <f>SUM(Z28:AD28)</f>
        <v>154.00050864699898</v>
      </c>
      <c r="Z28" s="65">
        <f>AN28/AG28</f>
        <v>154.00050864699898</v>
      </c>
      <c r="AA28" s="65"/>
      <c r="AB28" s="65"/>
      <c r="AC28" s="65"/>
      <c r="AD28" s="65"/>
      <c r="AE28" s="65"/>
      <c r="AF28" s="14">
        <f>AM28/Y28</f>
        <v>19.66</v>
      </c>
      <c r="AG28" s="13">
        <v>19.66</v>
      </c>
      <c r="AH28" s="13"/>
      <c r="AI28" s="13"/>
      <c r="AJ28" s="13"/>
      <c r="AK28" s="13"/>
      <c r="AL28" s="13"/>
      <c r="AM28" s="14">
        <f>SUM(AN28:AR28)</f>
        <v>3027.65</v>
      </c>
      <c r="AN28" s="36">
        <v>3027.65</v>
      </c>
      <c r="AO28" s="36"/>
      <c r="AP28" s="36"/>
      <c r="AQ28" s="13"/>
      <c r="AR28" s="13"/>
      <c r="AS28" s="13"/>
      <c r="AT28" s="14">
        <f>SUM(AU28:AY28)</f>
        <v>2362.36</v>
      </c>
      <c r="AU28" s="37">
        <f>(L28-AG28)*E28</f>
        <v>2362.36</v>
      </c>
      <c r="AV28" s="37"/>
      <c r="AW28" s="37"/>
      <c r="AX28" s="37"/>
      <c r="AY28" s="37"/>
      <c r="AZ28" s="13"/>
    </row>
    <row r="29" spans="1:52" ht="54" customHeight="1">
      <c r="A29" s="74"/>
      <c r="B29" s="47" t="s">
        <v>21</v>
      </c>
      <c r="C29" s="48"/>
      <c r="D29" s="75">
        <f t="shared" si="24"/>
        <v>406.5</v>
      </c>
      <c r="E29" s="76"/>
      <c r="F29" s="76"/>
      <c r="G29" s="76">
        <v>406.5</v>
      </c>
      <c r="H29" s="76"/>
      <c r="I29" s="76"/>
      <c r="J29" s="76"/>
      <c r="K29" s="14">
        <f t="shared" si="5"/>
        <v>33.75980319803198</v>
      </c>
      <c r="L29" s="37"/>
      <c r="M29" s="13"/>
      <c r="N29" s="50">
        <v>33.76</v>
      </c>
      <c r="O29" s="37"/>
      <c r="P29" s="37"/>
      <c r="Q29" s="37"/>
      <c r="R29" s="14">
        <f t="shared" si="25"/>
        <v>13723.36</v>
      </c>
      <c r="S29" s="50"/>
      <c r="T29" s="50"/>
      <c r="U29" s="50">
        <v>13723.36</v>
      </c>
      <c r="V29" s="36"/>
      <c r="W29" s="36"/>
      <c r="X29" s="13"/>
      <c r="Y29" s="67">
        <f>SUM(Z29:AD29)</f>
        <v>406.5</v>
      </c>
      <c r="Z29" s="97"/>
      <c r="AA29" s="97"/>
      <c r="AB29" s="97">
        <f>AP29/AI29</f>
        <v>406.5</v>
      </c>
      <c r="AC29" s="97"/>
      <c r="AD29" s="97"/>
      <c r="AE29" s="97"/>
      <c r="AF29" s="14">
        <f>AM29/Y29</f>
        <v>19.82</v>
      </c>
      <c r="AG29" s="13"/>
      <c r="AH29" s="13"/>
      <c r="AI29" s="13">
        <v>19.82</v>
      </c>
      <c r="AJ29" s="13"/>
      <c r="AK29" s="13"/>
      <c r="AL29" s="37"/>
      <c r="AM29" s="15">
        <f>SUM(AN29:AR29)</f>
        <v>8056.83</v>
      </c>
      <c r="AN29" s="50"/>
      <c r="AO29" s="50"/>
      <c r="AP29" s="50">
        <v>8056.83</v>
      </c>
      <c r="AQ29" s="36"/>
      <c r="AR29" s="36"/>
      <c r="AS29" s="13"/>
      <c r="AT29" s="14">
        <f>SUM(AU29:AY29)</f>
        <v>5666.609999999999</v>
      </c>
      <c r="AU29" s="37"/>
      <c r="AV29" s="37"/>
      <c r="AW29" s="37">
        <f>(N29-AI29)*G29</f>
        <v>5666.609999999999</v>
      </c>
      <c r="AX29" s="37"/>
      <c r="AY29" s="37"/>
      <c r="AZ29" s="13"/>
    </row>
    <row r="30" spans="1:52" ht="59.25" customHeight="1">
      <c r="A30" s="38"/>
      <c r="B30" s="54" t="s">
        <v>39</v>
      </c>
      <c r="C30" s="40"/>
      <c r="D30" s="75">
        <f t="shared" si="24"/>
        <v>7961.739</v>
      </c>
      <c r="E30" s="76"/>
      <c r="F30" s="65">
        <v>7961.739</v>
      </c>
      <c r="G30" s="76"/>
      <c r="H30" s="76"/>
      <c r="I30" s="76"/>
      <c r="J30" s="76"/>
      <c r="K30" s="14">
        <f t="shared" si="5"/>
        <v>22.110893110160987</v>
      </c>
      <c r="L30" s="13"/>
      <c r="M30" s="37">
        <v>22.11</v>
      </c>
      <c r="N30" s="13"/>
      <c r="O30" s="37"/>
      <c r="P30" s="37"/>
      <c r="Q30" s="37"/>
      <c r="R30" s="14">
        <f t="shared" si="25"/>
        <v>176041.16</v>
      </c>
      <c r="S30" s="13"/>
      <c r="T30" s="13">
        <v>176041.16</v>
      </c>
      <c r="U30" s="13"/>
      <c r="V30" s="13"/>
      <c r="W30" s="13"/>
      <c r="X30" s="37"/>
      <c r="Y30" s="67">
        <f>SUM(Z30:AD30)</f>
        <v>7961.739064089522</v>
      </c>
      <c r="Z30" s="97"/>
      <c r="AA30" s="97">
        <f>AO30/AH30</f>
        <v>7961.739064089522</v>
      </c>
      <c r="AB30" s="97"/>
      <c r="AC30" s="97"/>
      <c r="AD30" s="97"/>
      <c r="AE30" s="97"/>
      <c r="AF30" s="14">
        <f>AM30/Y30</f>
        <v>19.66</v>
      </c>
      <c r="AG30" s="37"/>
      <c r="AH30" s="37">
        <v>19.66</v>
      </c>
      <c r="AI30" s="37"/>
      <c r="AJ30" s="37"/>
      <c r="AK30" s="37"/>
      <c r="AL30" s="37"/>
      <c r="AM30" s="15">
        <f>SUM(AN30:AR30)</f>
        <v>156527.79</v>
      </c>
      <c r="AN30" s="13"/>
      <c r="AO30" s="13">
        <f>156516.97+10.82</f>
        <v>156527.79</v>
      </c>
      <c r="AP30" s="13"/>
      <c r="AQ30" s="13"/>
      <c r="AR30" s="13"/>
      <c r="AS30" s="37"/>
      <c r="AT30" s="15">
        <f>SUM(AU30:AY30)</f>
        <v>19506.26054999999</v>
      </c>
      <c r="AU30" s="37"/>
      <c r="AV30" s="37">
        <f>(M30-AH30)*F30</f>
        <v>19506.26054999999</v>
      </c>
      <c r="AW30" s="37"/>
      <c r="AX30" s="37"/>
      <c r="AY30" s="37"/>
      <c r="AZ30" s="13"/>
    </row>
    <row r="31" spans="1:52" ht="35.25" customHeight="1">
      <c r="A31" s="38"/>
      <c r="B31" s="39" t="s">
        <v>22</v>
      </c>
      <c r="C31" s="40"/>
      <c r="D31" s="75">
        <f t="shared" si="24"/>
        <v>119.9</v>
      </c>
      <c r="E31" s="76"/>
      <c r="F31" s="76"/>
      <c r="G31" s="77">
        <v>119.9</v>
      </c>
      <c r="H31" s="76"/>
      <c r="I31" s="76"/>
      <c r="J31" s="76"/>
      <c r="K31" s="14">
        <f t="shared" si="5"/>
        <v>27.87164303586322</v>
      </c>
      <c r="L31" s="13"/>
      <c r="M31" s="122"/>
      <c r="N31" s="13">
        <v>27.87</v>
      </c>
      <c r="O31" s="13"/>
      <c r="P31" s="13"/>
      <c r="Q31" s="13"/>
      <c r="R31" s="14">
        <f t="shared" si="25"/>
        <v>3341.81</v>
      </c>
      <c r="S31" s="13"/>
      <c r="T31" s="13"/>
      <c r="U31" s="13">
        <v>3341.81</v>
      </c>
      <c r="V31" s="13"/>
      <c r="W31" s="13"/>
      <c r="X31" s="13"/>
      <c r="Y31" s="64">
        <f>SUM(Z31:AD31)</f>
        <v>110.80020181634713</v>
      </c>
      <c r="Z31" s="65"/>
      <c r="AA31" s="65"/>
      <c r="AB31" s="65">
        <f>AP31/AI31</f>
        <v>110.80020181634713</v>
      </c>
      <c r="AC31" s="65"/>
      <c r="AD31" s="65"/>
      <c r="AE31" s="65"/>
      <c r="AF31" s="14">
        <f>AM31/Y31</f>
        <v>19.82</v>
      </c>
      <c r="AG31" s="13"/>
      <c r="AH31" s="13"/>
      <c r="AI31" s="13">
        <v>19.82</v>
      </c>
      <c r="AJ31" s="13"/>
      <c r="AK31" s="13"/>
      <c r="AL31" s="13"/>
      <c r="AM31" s="14">
        <f>SUM(AN31:AR31)</f>
        <v>2196.06</v>
      </c>
      <c r="AN31" s="13"/>
      <c r="AO31" s="13"/>
      <c r="AP31" s="13">
        <v>2196.06</v>
      </c>
      <c r="AQ31" s="13"/>
      <c r="AR31" s="13"/>
      <c r="AS31" s="13"/>
      <c r="AT31" s="15">
        <f>SUM(AU31:AY31)</f>
        <v>965.1950000000002</v>
      </c>
      <c r="AU31" s="37"/>
      <c r="AV31" s="37"/>
      <c r="AW31" s="37">
        <f>(N31-AI31)*G31</f>
        <v>965.1950000000002</v>
      </c>
      <c r="AX31" s="37"/>
      <c r="AY31" s="37"/>
      <c r="AZ31" s="13"/>
    </row>
    <row r="32" spans="1:52" ht="42" customHeight="1">
      <c r="A32" s="9"/>
      <c r="B32" s="43" t="s">
        <v>25</v>
      </c>
      <c r="C32" s="32"/>
      <c r="D32" s="75">
        <f t="shared" si="24"/>
        <v>41137.07</v>
      </c>
      <c r="E32" s="34">
        <v>4211.91</v>
      </c>
      <c r="F32" s="34">
        <v>6421.35</v>
      </c>
      <c r="G32" s="34">
        <v>13811.72</v>
      </c>
      <c r="H32" s="34">
        <v>9011.37</v>
      </c>
      <c r="I32" s="34">
        <v>7680.72</v>
      </c>
      <c r="J32" s="96"/>
      <c r="K32" s="120">
        <f t="shared" si="5"/>
        <v>19.953800064029842</v>
      </c>
      <c r="L32" s="36">
        <v>19.95</v>
      </c>
      <c r="M32" s="36">
        <v>19.95</v>
      </c>
      <c r="N32" s="36">
        <v>19.95</v>
      </c>
      <c r="O32" s="36">
        <v>19.95</v>
      </c>
      <c r="P32" s="36">
        <v>19.95</v>
      </c>
      <c r="Q32" s="36"/>
      <c r="R32" s="14">
        <f t="shared" si="25"/>
        <v>820840.8700000001</v>
      </c>
      <c r="S32" s="36">
        <v>84043.61</v>
      </c>
      <c r="T32" s="36">
        <v>128130.34</v>
      </c>
      <c r="U32" s="36">
        <v>275596.3</v>
      </c>
      <c r="V32" s="36">
        <v>179811.07</v>
      </c>
      <c r="W32" s="36">
        <v>153259.55</v>
      </c>
      <c r="X32" s="36"/>
      <c r="Y32" s="67">
        <f>SUM(Z32:AD32)</f>
        <v>41600.86667227281</v>
      </c>
      <c r="Z32" s="97">
        <f>AN32/AG32</f>
        <v>4186.616988809766</v>
      </c>
      <c r="AA32" s="97">
        <f>AO32/AH32</f>
        <v>6421.354526958291</v>
      </c>
      <c r="AB32" s="97">
        <f>AP32/AI32</f>
        <v>13853.278002018162</v>
      </c>
      <c r="AC32" s="97">
        <f>AQ32/AJ32</f>
        <v>10028.325722983256</v>
      </c>
      <c r="AD32" s="97">
        <f>AR32/AK32</f>
        <v>7111.291431503334</v>
      </c>
      <c r="AE32" s="97"/>
      <c r="AF32" s="121">
        <f t="shared" si="22"/>
        <v>19.6962737929237</v>
      </c>
      <c r="AG32" s="37">
        <v>19.66</v>
      </c>
      <c r="AH32" s="37">
        <v>19.66</v>
      </c>
      <c r="AI32" s="37">
        <v>19.82</v>
      </c>
      <c r="AJ32" s="37">
        <v>19.71</v>
      </c>
      <c r="AK32" s="37">
        <v>19.49</v>
      </c>
      <c r="AL32" s="37"/>
      <c r="AM32" s="15">
        <f>SUM(AN32:AS32)</f>
        <v>819382.0599999999</v>
      </c>
      <c r="AN32" s="36">
        <f>82219.54+89.35</f>
        <v>82308.89</v>
      </c>
      <c r="AO32" s="36">
        <f>69991.67+37258.64+18916.16+77.36</f>
        <v>126243.83</v>
      </c>
      <c r="AP32" s="36">
        <f>96824.38+177747.59</f>
        <v>274571.97</v>
      </c>
      <c r="AQ32" s="36">
        <f>135698.42+44859.53+17088.52+6.68+5.15</f>
        <v>197658.3</v>
      </c>
      <c r="AR32" s="36">
        <f>138105.96+493.11</f>
        <v>138599.06999999998</v>
      </c>
      <c r="AS32" s="37"/>
      <c r="AT32" s="15">
        <f>SUM(AU32:AY32)</f>
        <v>10575.02899999997</v>
      </c>
      <c r="AU32" s="37">
        <f>(L32-AG32)*E32</f>
        <v>1221.4538999999963</v>
      </c>
      <c r="AV32" s="37">
        <f>(M32-AH32)*F32</f>
        <v>1862.1914999999947</v>
      </c>
      <c r="AW32" s="37">
        <f>(N32-AI32)*G32</f>
        <v>1795.5235999999861</v>
      </c>
      <c r="AX32" s="37">
        <f>(O32-AJ32)*H32</f>
        <v>2162.728799999986</v>
      </c>
      <c r="AY32" s="37">
        <f>(P32-AK32)*I32</f>
        <v>3533.1312000000066</v>
      </c>
      <c r="AZ32" s="37"/>
    </row>
    <row r="33" spans="1:52" ht="84" customHeight="1">
      <c r="A33" s="74"/>
      <c r="B33" s="31" t="s">
        <v>27</v>
      </c>
      <c r="C33" s="40"/>
      <c r="D33" s="75">
        <f t="shared" si="24"/>
        <v>21055.489999999998</v>
      </c>
      <c r="E33" s="65">
        <v>5007.6</v>
      </c>
      <c r="F33" s="65">
        <v>15168.25</v>
      </c>
      <c r="G33" s="76"/>
      <c r="H33" s="76"/>
      <c r="I33" s="76"/>
      <c r="J33" s="65">
        <v>879.64</v>
      </c>
      <c r="K33" s="14">
        <f t="shared" si="5"/>
        <v>28.65039996694449</v>
      </c>
      <c r="L33" s="13">
        <v>28.65</v>
      </c>
      <c r="M33" s="13">
        <v>28.65</v>
      </c>
      <c r="N33" s="13"/>
      <c r="O33" s="13"/>
      <c r="P33" s="13"/>
      <c r="Q33" s="13">
        <v>28.65</v>
      </c>
      <c r="R33" s="14">
        <f t="shared" si="25"/>
        <v>603248.21</v>
      </c>
      <c r="S33" s="13">
        <v>143469.74</v>
      </c>
      <c r="T33" s="13">
        <v>434576.43</v>
      </c>
      <c r="U33" s="13"/>
      <c r="V33" s="13"/>
      <c r="W33" s="13"/>
      <c r="X33" s="13">
        <v>25202.04</v>
      </c>
      <c r="Y33" s="64">
        <f>SUM(Z33:AE33)</f>
        <v>21307.64437980298</v>
      </c>
      <c r="Z33" s="65">
        <f>AN33/AG33</f>
        <v>5007.62004069176</v>
      </c>
      <c r="AA33" s="65">
        <f>AO33/AH33</f>
        <v>15420.386063072227</v>
      </c>
      <c r="AB33" s="65"/>
      <c r="AC33" s="65"/>
      <c r="AD33" s="65"/>
      <c r="AE33" s="65">
        <f>AS33/AL33</f>
        <v>879.6382760389945</v>
      </c>
      <c r="AF33" s="14">
        <f t="shared" si="22"/>
        <v>19.65298193154245</v>
      </c>
      <c r="AG33" s="13">
        <v>19.66</v>
      </c>
      <c r="AH33" s="13">
        <v>19.66</v>
      </c>
      <c r="AI33" s="13"/>
      <c r="AJ33" s="13"/>
      <c r="AK33" s="13"/>
      <c r="AL33" s="37">
        <v>19.49</v>
      </c>
      <c r="AM33" s="15">
        <f>SUM(AN33:AS33)</f>
        <v>418758.75</v>
      </c>
      <c r="AN33" s="13">
        <f>98449.81</f>
        <v>98449.81</v>
      </c>
      <c r="AO33" s="13">
        <f>239199.82+63565.69+173.49+225.79</f>
        <v>303164.79</v>
      </c>
      <c r="AP33" s="13"/>
      <c r="AQ33" s="13"/>
      <c r="AR33" s="13"/>
      <c r="AS33" s="37">
        <v>17144.15</v>
      </c>
      <c r="AT33" s="14">
        <f>SUM(AU33:AZ33)</f>
        <v>189438.39389999997</v>
      </c>
      <c r="AU33" s="37">
        <f>(L33-AG33)*E33</f>
        <v>45018.32399999999</v>
      </c>
      <c r="AV33" s="37">
        <f>(M33-AH33)*F33</f>
        <v>136362.56749999998</v>
      </c>
      <c r="AW33" s="37"/>
      <c r="AX33" s="37"/>
      <c r="AY33" s="37"/>
      <c r="AZ33" s="37">
        <f>(Q33-AL33)*J33</f>
        <v>8057.5024</v>
      </c>
    </row>
    <row r="34" spans="1:52" ht="39.75" customHeight="1">
      <c r="A34" s="38"/>
      <c r="B34" s="39" t="s">
        <v>23</v>
      </c>
      <c r="C34" s="40"/>
      <c r="D34" s="75">
        <f t="shared" si="24"/>
        <v>657.031</v>
      </c>
      <c r="E34" s="76"/>
      <c r="F34" s="65">
        <v>657.031</v>
      </c>
      <c r="G34" s="76"/>
      <c r="H34" s="76"/>
      <c r="I34" s="76"/>
      <c r="J34" s="76"/>
      <c r="K34" s="14">
        <f t="shared" si="5"/>
        <v>21.086600175638594</v>
      </c>
      <c r="L34" s="13"/>
      <c r="M34" s="13">
        <v>21.09</v>
      </c>
      <c r="N34" s="13"/>
      <c r="O34" s="37"/>
      <c r="P34" s="37"/>
      <c r="Q34" s="37"/>
      <c r="R34" s="14">
        <f t="shared" si="25"/>
        <v>13854.55</v>
      </c>
      <c r="S34" s="13"/>
      <c r="T34" s="13">
        <v>13854.55</v>
      </c>
      <c r="U34" s="13"/>
      <c r="V34" s="13"/>
      <c r="W34" s="13"/>
      <c r="X34" s="13"/>
      <c r="Y34" s="67">
        <f>SUM(Z34:AD34)</f>
        <v>657.030518819939</v>
      </c>
      <c r="Z34" s="97"/>
      <c r="AA34" s="97">
        <f>AO34/AH34</f>
        <v>657.030518819939</v>
      </c>
      <c r="AB34" s="97"/>
      <c r="AC34" s="97"/>
      <c r="AD34" s="97"/>
      <c r="AE34" s="97"/>
      <c r="AF34" s="14">
        <f t="shared" si="22"/>
        <v>19.66</v>
      </c>
      <c r="AG34" s="37"/>
      <c r="AH34" s="37">
        <v>19.66</v>
      </c>
      <c r="AI34" s="37"/>
      <c r="AJ34" s="37"/>
      <c r="AK34" s="37"/>
      <c r="AL34" s="37"/>
      <c r="AM34" s="15">
        <f>SUM(AN34:AR34)</f>
        <v>12917.22</v>
      </c>
      <c r="AN34" s="13"/>
      <c r="AO34" s="13">
        <v>12917.22</v>
      </c>
      <c r="AP34" s="13"/>
      <c r="AQ34" s="13"/>
      <c r="AR34" s="13"/>
      <c r="AS34" s="37"/>
      <c r="AT34" s="14">
        <f>SUM(AU34:AZ34)</f>
        <v>939.5543299999997</v>
      </c>
      <c r="AU34" s="37"/>
      <c r="AV34" s="37">
        <f>(M34-AH34)*F34</f>
        <v>939.5543299999997</v>
      </c>
      <c r="AW34" s="37"/>
      <c r="AX34" s="37"/>
      <c r="AY34" s="37"/>
      <c r="AZ34" s="13"/>
    </row>
    <row r="35" spans="1:52" ht="39.75" customHeight="1">
      <c r="A35" s="38"/>
      <c r="B35" s="39" t="s">
        <v>44</v>
      </c>
      <c r="C35" s="40"/>
      <c r="D35" s="75">
        <f t="shared" si="24"/>
        <v>0</v>
      </c>
      <c r="E35" s="76"/>
      <c r="F35" s="76"/>
      <c r="G35" s="76"/>
      <c r="H35" s="76">
        <f>V35/O35</f>
        <v>0</v>
      </c>
      <c r="I35" s="76"/>
      <c r="J35" s="76"/>
      <c r="K35" s="14" t="e">
        <f t="shared" si="5"/>
        <v>#DIV/0!</v>
      </c>
      <c r="L35" s="13"/>
      <c r="M35" s="37"/>
      <c r="N35" s="13"/>
      <c r="O35" s="37">
        <v>34.89</v>
      </c>
      <c r="P35" s="37"/>
      <c r="Q35" s="37"/>
      <c r="R35" s="14">
        <f t="shared" si="25"/>
        <v>0</v>
      </c>
      <c r="S35" s="13"/>
      <c r="T35" s="13"/>
      <c r="U35" s="13"/>
      <c r="V35" s="13"/>
      <c r="W35" s="13"/>
      <c r="X35" s="37"/>
      <c r="Y35" s="67">
        <f>SUM(Z35:AD35)</f>
        <v>455.5941146626078</v>
      </c>
      <c r="Z35" s="97"/>
      <c r="AA35" s="97"/>
      <c r="AB35" s="97"/>
      <c r="AC35" s="97">
        <f>AQ35/AJ35</f>
        <v>455.5941146626078</v>
      </c>
      <c r="AD35" s="97"/>
      <c r="AE35" s="97"/>
      <c r="AF35" s="14">
        <f t="shared" si="22"/>
        <v>19.71</v>
      </c>
      <c r="AG35" s="37"/>
      <c r="AH35" s="37"/>
      <c r="AI35" s="37"/>
      <c r="AJ35" s="37">
        <v>19.71</v>
      </c>
      <c r="AK35" s="37"/>
      <c r="AL35" s="37"/>
      <c r="AM35" s="15">
        <f>SUM(AN35:AR35)</f>
        <v>8979.76</v>
      </c>
      <c r="AN35" s="13"/>
      <c r="AO35" s="13"/>
      <c r="AP35" s="13"/>
      <c r="AQ35" s="13">
        <v>8979.76</v>
      </c>
      <c r="AR35" s="13"/>
      <c r="AS35" s="37"/>
      <c r="AT35" s="14">
        <f>SUM(AU35:AZ35)</f>
        <v>0</v>
      </c>
      <c r="AU35" s="37"/>
      <c r="AV35" s="37"/>
      <c r="AW35" s="37"/>
      <c r="AX35" s="37"/>
      <c r="AY35" s="37"/>
      <c r="AZ35" s="13"/>
    </row>
    <row r="36" spans="1:52" ht="43.5" customHeight="1" thickBot="1">
      <c r="A36" s="78"/>
      <c r="B36" s="79" t="s">
        <v>26</v>
      </c>
      <c r="C36" s="80"/>
      <c r="D36" s="75">
        <f t="shared" si="24"/>
        <v>874.432</v>
      </c>
      <c r="E36" s="81"/>
      <c r="F36" s="81"/>
      <c r="G36" s="81"/>
      <c r="H36" s="81"/>
      <c r="I36" s="34">
        <v>874.432</v>
      </c>
      <c r="J36" s="96"/>
      <c r="K36" s="82">
        <f t="shared" si="5"/>
        <v>26.774191703871768</v>
      </c>
      <c r="L36" s="83"/>
      <c r="M36" s="83"/>
      <c r="N36" s="83"/>
      <c r="O36" s="83"/>
      <c r="P36" s="84">
        <v>26.77</v>
      </c>
      <c r="Q36" s="84"/>
      <c r="R36" s="14">
        <f t="shared" si="25"/>
        <v>23412.21</v>
      </c>
      <c r="S36" s="83"/>
      <c r="T36" s="83"/>
      <c r="U36" s="83"/>
      <c r="V36" s="83"/>
      <c r="W36" s="83">
        <v>23412.21</v>
      </c>
      <c r="X36" s="84"/>
      <c r="Y36" s="87">
        <f>SUM(Z36:AD36)</f>
        <v>874.4320164186763</v>
      </c>
      <c r="Z36" s="99"/>
      <c r="AA36" s="99"/>
      <c r="AB36" s="99"/>
      <c r="AC36" s="99"/>
      <c r="AD36" s="99">
        <f>AR36/AK36</f>
        <v>874.4320164186763</v>
      </c>
      <c r="AE36" s="99"/>
      <c r="AF36" s="85">
        <f t="shared" si="22"/>
        <v>19.49</v>
      </c>
      <c r="AG36" s="84"/>
      <c r="AH36" s="84"/>
      <c r="AI36" s="84"/>
      <c r="AJ36" s="84"/>
      <c r="AK36" s="84">
        <v>19.49</v>
      </c>
      <c r="AL36" s="84"/>
      <c r="AM36" s="86">
        <f>SUM(AN36:AR36)</f>
        <v>17042.68</v>
      </c>
      <c r="AN36" s="83"/>
      <c r="AO36" s="83"/>
      <c r="AP36" s="83"/>
      <c r="AQ36" s="83"/>
      <c r="AR36" s="83">
        <v>17042.68</v>
      </c>
      <c r="AS36" s="84"/>
      <c r="AT36" s="14">
        <f>SUM(AU36:AZ36)</f>
        <v>6365.864960000001</v>
      </c>
      <c r="AU36" s="36"/>
      <c r="AV36" s="36"/>
      <c r="AW36" s="36"/>
      <c r="AX36" s="36"/>
      <c r="AY36" s="37">
        <f>(P36-AK36)*I36</f>
        <v>6365.864960000001</v>
      </c>
      <c r="AZ36" s="50"/>
    </row>
    <row r="37" spans="1:65" s="29" customFormat="1" ht="36.75" customHeight="1" thickBot="1">
      <c r="A37" s="23">
        <v>4</v>
      </c>
      <c r="B37" s="24" t="s">
        <v>3</v>
      </c>
      <c r="C37" s="24" t="s">
        <v>5</v>
      </c>
      <c r="D37" s="27">
        <f aca="true" t="shared" si="26" ref="D37:J37">SUM(D38:D45)</f>
        <v>93614.10322824467</v>
      </c>
      <c r="E37" s="27">
        <f t="shared" si="26"/>
        <v>7986.28</v>
      </c>
      <c r="F37" s="27">
        <f t="shared" si="26"/>
        <v>40746.791228244656</v>
      </c>
      <c r="G37" s="27">
        <f t="shared" si="26"/>
        <v>21951.08</v>
      </c>
      <c r="H37" s="27">
        <f t="shared" si="26"/>
        <v>10533.47</v>
      </c>
      <c r="I37" s="27">
        <f t="shared" si="26"/>
        <v>12396.482</v>
      </c>
      <c r="J37" s="27">
        <f t="shared" si="26"/>
        <v>0</v>
      </c>
      <c r="K37" s="28">
        <f t="shared" si="5"/>
        <v>25.49485790811812</v>
      </c>
      <c r="L37" s="28">
        <f>S37/E37</f>
        <v>25.13232318426101</v>
      </c>
      <c r="M37" s="28">
        <f>T37/F37</f>
        <v>33.253544368930946</v>
      </c>
      <c r="N37" s="28">
        <f>U37/G37</f>
        <v>19.176719778707927</v>
      </c>
      <c r="O37" s="28">
        <f>V37/H37</f>
        <v>16.648557407957686</v>
      </c>
      <c r="P37" s="28">
        <f>W37/I37</f>
        <v>18.93056997945062</v>
      </c>
      <c r="Q37" s="28"/>
      <c r="R37" s="27">
        <f aca="true" t="shared" si="27" ref="R37:AE37">SUM(R38:R45)</f>
        <v>2386678.26</v>
      </c>
      <c r="S37" s="61">
        <f t="shared" si="27"/>
        <v>200713.77000000002</v>
      </c>
      <c r="T37" s="61">
        <f t="shared" si="27"/>
        <v>1354975.23</v>
      </c>
      <c r="U37" s="61">
        <f t="shared" si="27"/>
        <v>420949.71</v>
      </c>
      <c r="V37" s="61">
        <f t="shared" si="27"/>
        <v>175367.08000000002</v>
      </c>
      <c r="W37" s="61">
        <f t="shared" si="27"/>
        <v>234672.47</v>
      </c>
      <c r="X37" s="61">
        <f t="shared" si="27"/>
        <v>0</v>
      </c>
      <c r="Y37" s="59">
        <f t="shared" si="27"/>
        <v>96998.301527181</v>
      </c>
      <c r="Z37" s="59">
        <f t="shared" si="27"/>
        <v>9903.057894736841</v>
      </c>
      <c r="AA37" s="59">
        <f t="shared" si="27"/>
        <v>40499.807</v>
      </c>
      <c r="AB37" s="59">
        <f t="shared" si="27"/>
        <v>22083.88773234201</v>
      </c>
      <c r="AC37" s="59">
        <f t="shared" si="27"/>
        <v>11480.42746267961</v>
      </c>
      <c r="AD37" s="59">
        <f t="shared" si="27"/>
        <v>13031.121437422553</v>
      </c>
      <c r="AE37" s="59">
        <f t="shared" si="27"/>
        <v>0</v>
      </c>
      <c r="AF37" s="86">
        <f t="shared" si="22"/>
        <v>16.677046242368494</v>
      </c>
      <c r="AG37" s="101">
        <f>AN37/Z37</f>
        <v>17.099999999999998</v>
      </c>
      <c r="AH37" s="101">
        <f>AO37/AA37</f>
        <v>17.379965786009794</v>
      </c>
      <c r="AI37" s="101">
        <f>AP37/AB37</f>
        <v>16.423526255697734</v>
      </c>
      <c r="AJ37" s="101">
        <f>AQ37/AC37</f>
        <v>14.929757672977278</v>
      </c>
      <c r="AK37" s="27">
        <f>AR37/AD37</f>
        <v>16.14</v>
      </c>
      <c r="AL37" s="27"/>
      <c r="AM37" s="27">
        <f aca="true" t="shared" si="28" ref="AM37:AZ37">SUM(AM38:AM45)</f>
        <v>1617645.16</v>
      </c>
      <c r="AN37" s="27">
        <f t="shared" si="28"/>
        <v>169342.28999999998</v>
      </c>
      <c r="AO37" s="27">
        <f t="shared" si="28"/>
        <v>703885.26</v>
      </c>
      <c r="AP37" s="27">
        <f t="shared" si="28"/>
        <v>362695.31000000006</v>
      </c>
      <c r="AQ37" s="27">
        <f t="shared" si="28"/>
        <v>171399.99999999997</v>
      </c>
      <c r="AR37" s="27">
        <f t="shared" si="28"/>
        <v>210322.30000000002</v>
      </c>
      <c r="AS37" s="27">
        <f t="shared" si="28"/>
        <v>0</v>
      </c>
      <c r="AT37" s="118">
        <f t="shared" si="28"/>
        <v>823775.122913108</v>
      </c>
      <c r="AU37" s="27">
        <f t="shared" si="28"/>
        <v>64099.50619999999</v>
      </c>
      <c r="AV37" s="27">
        <f t="shared" si="28"/>
        <v>646702.335853108</v>
      </c>
      <c r="AW37" s="27">
        <f t="shared" si="28"/>
        <v>60358.403000000006</v>
      </c>
      <c r="AX37" s="27">
        <f t="shared" si="28"/>
        <v>18040.879999999997</v>
      </c>
      <c r="AY37" s="27">
        <f t="shared" si="28"/>
        <v>34573.997859999996</v>
      </c>
      <c r="AZ37" s="27">
        <f t="shared" si="28"/>
        <v>0</v>
      </c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</row>
    <row r="38" spans="1:52" s="4" customFormat="1" ht="56.25" customHeight="1">
      <c r="A38" s="123"/>
      <c r="B38" s="124" t="s">
        <v>39</v>
      </c>
      <c r="C38" s="72"/>
      <c r="D38" s="63">
        <f>SUM(E38:I38)</f>
        <v>14461.231228244655</v>
      </c>
      <c r="E38" s="37"/>
      <c r="F38" s="37">
        <f>T38/M38</f>
        <v>14461.231228244655</v>
      </c>
      <c r="G38" s="37"/>
      <c r="H38" s="37"/>
      <c r="I38" s="37"/>
      <c r="J38" s="37"/>
      <c r="K38" s="63">
        <f t="shared" si="5"/>
        <v>40.22</v>
      </c>
      <c r="L38" s="73"/>
      <c r="M38" s="73">
        <v>40.22</v>
      </c>
      <c r="N38" s="73"/>
      <c r="O38" s="73"/>
      <c r="P38" s="73"/>
      <c r="Q38" s="37"/>
      <c r="R38" s="15">
        <f>SUM(S38:W38)</f>
        <v>581630.72</v>
      </c>
      <c r="S38" s="13"/>
      <c r="T38" s="13">
        <v>581630.72</v>
      </c>
      <c r="U38" s="13"/>
      <c r="V38" s="13"/>
      <c r="W38" s="13"/>
      <c r="X38" s="13"/>
      <c r="Y38" s="67">
        <f>SUM(Z38:AD38)</f>
        <v>14482.776</v>
      </c>
      <c r="Z38" s="97"/>
      <c r="AA38" s="97">
        <f>ROUND(AO38/AH38,3)</f>
        <v>14482.776</v>
      </c>
      <c r="AB38" s="97"/>
      <c r="AC38" s="97"/>
      <c r="AD38" s="97"/>
      <c r="AE38" s="97"/>
      <c r="AF38" s="14">
        <f>AM38/Y38</f>
        <v>17.379999524952954</v>
      </c>
      <c r="AG38" s="37"/>
      <c r="AH38" s="37">
        <v>17.38</v>
      </c>
      <c r="AI38" s="13"/>
      <c r="AJ38" s="13"/>
      <c r="AK38" s="13"/>
      <c r="AL38" s="37"/>
      <c r="AM38" s="15">
        <f>SUM(AN38:AR38)</f>
        <v>251710.64</v>
      </c>
      <c r="AN38" s="13"/>
      <c r="AO38" s="13">
        <f>14558.38+237152.26</f>
        <v>251710.64</v>
      </c>
      <c r="AP38" s="13"/>
      <c r="AQ38" s="13"/>
      <c r="AR38" s="13"/>
      <c r="AS38" s="13"/>
      <c r="AT38" s="15">
        <f>SUM(AU38:AY38)</f>
        <v>330294.52125310793</v>
      </c>
      <c r="AU38" s="37"/>
      <c r="AV38" s="37">
        <f>(M38-AH38)*F38</f>
        <v>330294.52125310793</v>
      </c>
      <c r="AW38" s="37"/>
      <c r="AX38" s="37"/>
      <c r="AY38" s="37"/>
      <c r="AZ38" s="13"/>
    </row>
    <row r="39" spans="1:52" ht="45.75" customHeight="1">
      <c r="A39" s="38"/>
      <c r="B39" s="39" t="s">
        <v>24</v>
      </c>
      <c r="C39" s="40"/>
      <c r="D39" s="14">
        <f>SUM(E39:I39)</f>
        <v>706.7</v>
      </c>
      <c r="E39" s="13"/>
      <c r="F39" s="13"/>
      <c r="G39" s="13">
        <v>706.7</v>
      </c>
      <c r="H39" s="13"/>
      <c r="I39" s="13"/>
      <c r="J39" s="13"/>
      <c r="K39" s="14">
        <f t="shared" si="5"/>
        <v>27.741799915098344</v>
      </c>
      <c r="L39" s="13"/>
      <c r="M39" s="13"/>
      <c r="N39" s="13">
        <v>27.74</v>
      </c>
      <c r="O39" s="13"/>
      <c r="P39" s="13"/>
      <c r="Q39" s="13"/>
      <c r="R39" s="14">
        <f>SUM(S39:W39)</f>
        <v>19605.13</v>
      </c>
      <c r="S39" s="13"/>
      <c r="T39" s="13"/>
      <c r="U39" s="13">
        <v>19605.13</v>
      </c>
      <c r="V39" s="13"/>
      <c r="W39" s="13"/>
      <c r="X39" s="13"/>
      <c r="Y39" s="64">
        <f>SUM(Z39:AD39)</f>
        <v>802.2</v>
      </c>
      <c r="Z39" s="65">
        <f>AN39/AG39</f>
        <v>95.49999999999999</v>
      </c>
      <c r="AA39" s="65"/>
      <c r="AB39" s="65">
        <f>AP39/AI39</f>
        <v>706.7</v>
      </c>
      <c r="AC39" s="65"/>
      <c r="AD39" s="65"/>
      <c r="AE39" s="97"/>
      <c r="AF39" s="14">
        <f>AM39/Y39</f>
        <v>24.059523809523807</v>
      </c>
      <c r="AG39" s="127">
        <v>17.1</v>
      </c>
      <c r="AH39" s="13"/>
      <c r="AI39" s="127">
        <v>25</v>
      </c>
      <c r="AJ39" s="13"/>
      <c r="AK39" s="13"/>
      <c r="AL39" s="13"/>
      <c r="AM39" s="14">
        <f>SUM(AN39:AR39)</f>
        <v>19300.55</v>
      </c>
      <c r="AN39" s="13">
        <f>1633.05</f>
        <v>1633.05</v>
      </c>
      <c r="AO39" s="13"/>
      <c r="AP39" s="13">
        <f>7505+10162.5</f>
        <v>17667.5</v>
      </c>
      <c r="AQ39" s="13"/>
      <c r="AR39" s="13"/>
      <c r="AS39" s="13"/>
      <c r="AT39" s="15">
        <f>SUM(AU39:AY39)</f>
        <v>1936.357999999999</v>
      </c>
      <c r="AU39" s="37"/>
      <c r="AV39" s="37"/>
      <c r="AW39" s="37">
        <f>(N39-AI39)*G39</f>
        <v>1936.357999999999</v>
      </c>
      <c r="AX39" s="37"/>
      <c r="AY39" s="37"/>
      <c r="AZ39" s="13"/>
    </row>
    <row r="40" spans="1:52" ht="46.5" customHeight="1">
      <c r="A40" s="9"/>
      <c r="B40" s="43" t="s">
        <v>25</v>
      </c>
      <c r="C40" s="10"/>
      <c r="D40" s="15">
        <f aca="true" t="shared" si="29" ref="D40:D45">SUM(E40:I40)</f>
        <v>43105.880000000005</v>
      </c>
      <c r="E40" s="34">
        <v>2421.58</v>
      </c>
      <c r="F40" s="34">
        <v>1755.94</v>
      </c>
      <c r="G40" s="34">
        <v>21244.38</v>
      </c>
      <c r="H40" s="34">
        <v>6560.32</v>
      </c>
      <c r="I40" s="34">
        <v>11123.66</v>
      </c>
      <c r="J40" s="96"/>
      <c r="K40" s="120">
        <f t="shared" si="5"/>
        <v>18.89180014420306</v>
      </c>
      <c r="L40" s="37">
        <v>18.89</v>
      </c>
      <c r="M40" s="37">
        <v>18.89</v>
      </c>
      <c r="N40" s="37">
        <v>18.89</v>
      </c>
      <c r="O40" s="37">
        <v>18.89</v>
      </c>
      <c r="P40" s="37">
        <v>18.89</v>
      </c>
      <c r="Q40" s="37"/>
      <c r="R40" s="15">
        <f aca="true" t="shared" si="30" ref="R40:R45">SUM(S40:W40)</f>
        <v>814347.6699999999</v>
      </c>
      <c r="S40" s="37">
        <v>45748.01</v>
      </c>
      <c r="T40" s="37">
        <v>33172.87</v>
      </c>
      <c r="U40" s="37">
        <v>401344.58</v>
      </c>
      <c r="V40" s="37">
        <v>123936.25</v>
      </c>
      <c r="W40" s="37">
        <v>210145.96</v>
      </c>
      <c r="X40" s="37"/>
      <c r="Y40" s="67">
        <f aca="true" t="shared" si="31" ref="Y40:Y45">SUM(Z40:AD40)</f>
        <v>45530.936672210264</v>
      </c>
      <c r="Z40" s="97">
        <f>AN40/AG40</f>
        <v>4242.854385964912</v>
      </c>
      <c r="AA40" s="97">
        <f>ROUND(AO40/AH40,3)</f>
        <v>1487.415</v>
      </c>
      <c r="AB40" s="97">
        <f>AP40/AI40</f>
        <v>21377.18773234201</v>
      </c>
      <c r="AC40" s="97">
        <f>AQ40/AJ40</f>
        <v>6665.180297397769</v>
      </c>
      <c r="AD40" s="97">
        <f>AR40/AK40</f>
        <v>11758.299256505576</v>
      </c>
      <c r="AE40" s="97"/>
      <c r="AF40" s="15">
        <f t="shared" si="22"/>
        <v>16.269967282534257</v>
      </c>
      <c r="AG40" s="37">
        <v>17.1</v>
      </c>
      <c r="AH40" s="37">
        <v>17.38</v>
      </c>
      <c r="AI40" s="37">
        <v>16.14</v>
      </c>
      <c r="AJ40" s="37">
        <v>16.14</v>
      </c>
      <c r="AK40" s="37">
        <v>16.14</v>
      </c>
      <c r="AL40" s="37"/>
      <c r="AM40" s="15">
        <f aca="true" t="shared" si="32" ref="AM40:AM45">SUM(AN40:AR40)</f>
        <v>740786.8500000001</v>
      </c>
      <c r="AN40" s="37">
        <f>72552.81</f>
        <v>72552.81</v>
      </c>
      <c r="AO40" s="37">
        <f>9398.22+86.9+16366.15</f>
        <v>25851.269999999997</v>
      </c>
      <c r="AP40" s="37">
        <f>48804.41+77036.03+76821.33+142366.04</f>
        <v>345027.81000000006</v>
      </c>
      <c r="AQ40" s="37">
        <f>107576.01</f>
        <v>107576.01</v>
      </c>
      <c r="AR40" s="37">
        <f>66011.55+123767.4</f>
        <v>189778.95</v>
      </c>
      <c r="AS40" s="37"/>
      <c r="AT40" s="15">
        <f aca="true" t="shared" si="33" ref="AT40:AT45">SUM(AU40:AY40)</f>
        <v>114039.0876</v>
      </c>
      <c r="AU40" s="37">
        <f>(L40-AG40)*E40</f>
        <v>4334.628199999997</v>
      </c>
      <c r="AV40" s="37">
        <f>(M40-AH40)*F40</f>
        <v>2651.4694000000027</v>
      </c>
      <c r="AW40" s="37">
        <f>(N40-AI40)*G40</f>
        <v>58422.045000000006</v>
      </c>
      <c r="AX40" s="37">
        <f>(O40-AJ40)*H40</f>
        <v>18040.879999999997</v>
      </c>
      <c r="AY40" s="37">
        <f>(P40-AK40)*I40</f>
        <v>30590.065</v>
      </c>
      <c r="AZ40" s="37"/>
    </row>
    <row r="41" spans="1:52" ht="47.25" customHeight="1">
      <c r="A41" s="38"/>
      <c r="B41" s="43" t="s">
        <v>29</v>
      </c>
      <c r="C41" s="10"/>
      <c r="D41" s="15">
        <f t="shared" si="29"/>
        <v>3973.15</v>
      </c>
      <c r="E41" s="13"/>
      <c r="F41" s="13"/>
      <c r="G41" s="13"/>
      <c r="H41" s="65">
        <v>3973.15</v>
      </c>
      <c r="I41" s="13"/>
      <c r="J41" s="13"/>
      <c r="K41" s="14">
        <f t="shared" si="5"/>
        <v>12.944598114845903</v>
      </c>
      <c r="L41" s="37"/>
      <c r="M41" s="37"/>
      <c r="N41" s="37"/>
      <c r="O41" s="37">
        <v>12.94</v>
      </c>
      <c r="P41" s="37"/>
      <c r="Q41" s="37"/>
      <c r="R41" s="15">
        <f t="shared" si="30"/>
        <v>51430.83</v>
      </c>
      <c r="S41" s="13"/>
      <c r="T41" s="13"/>
      <c r="U41" s="13"/>
      <c r="V41" s="13">
        <v>51430.83</v>
      </c>
      <c r="W41" s="13"/>
      <c r="X41" s="37"/>
      <c r="Y41" s="67">
        <f t="shared" si="31"/>
        <v>4110.680250783699</v>
      </c>
      <c r="Z41" s="97"/>
      <c r="AA41" s="65"/>
      <c r="AB41" s="97"/>
      <c r="AC41" s="97">
        <f>AQ41/AJ41</f>
        <v>4110.680250783699</v>
      </c>
      <c r="AD41" s="97"/>
      <c r="AE41" s="97"/>
      <c r="AF41" s="14">
        <f t="shared" si="22"/>
        <v>12.76</v>
      </c>
      <c r="AG41" s="37"/>
      <c r="AH41" s="37"/>
      <c r="AI41" s="13"/>
      <c r="AJ41" s="13">
        <v>12.76</v>
      </c>
      <c r="AK41" s="13"/>
      <c r="AL41" s="37"/>
      <c r="AM41" s="15">
        <f t="shared" si="32"/>
        <v>52452.28</v>
      </c>
      <c r="AN41" s="13"/>
      <c r="AO41" s="13"/>
      <c r="AP41" s="13"/>
      <c r="AQ41" s="13">
        <f>12322.13+27688.76+12441.39</f>
        <v>52452.28</v>
      </c>
      <c r="AR41" s="13"/>
      <c r="AS41" s="37"/>
      <c r="AT41" s="15">
        <f t="shared" si="33"/>
        <v>0</v>
      </c>
      <c r="AU41" s="37"/>
      <c r="AV41" s="37"/>
      <c r="AW41" s="37"/>
      <c r="AX41" s="37"/>
      <c r="AY41" s="37"/>
      <c r="AZ41" s="13"/>
    </row>
    <row r="42" spans="1:52" s="4" customFormat="1" ht="39.75" customHeight="1">
      <c r="A42" s="66"/>
      <c r="B42" s="39" t="s">
        <v>44</v>
      </c>
      <c r="C42" s="39"/>
      <c r="D42" s="15">
        <f>SUM(E42:I42)</f>
        <v>0</v>
      </c>
      <c r="E42" s="37"/>
      <c r="F42" s="37"/>
      <c r="G42" s="37"/>
      <c r="H42" s="37">
        <f>V42/O42</f>
        <v>0</v>
      </c>
      <c r="I42" s="37"/>
      <c r="J42" s="37"/>
      <c r="K42" s="14" t="e">
        <f t="shared" si="5"/>
        <v>#DIV/0!</v>
      </c>
      <c r="L42" s="13"/>
      <c r="M42" s="37"/>
      <c r="N42" s="13"/>
      <c r="O42" s="37">
        <v>22.4</v>
      </c>
      <c r="P42" s="37"/>
      <c r="Q42" s="37"/>
      <c r="R42" s="15">
        <f>SUM(S42:W42)</f>
        <v>0</v>
      </c>
      <c r="S42" s="13"/>
      <c r="T42" s="13"/>
      <c r="U42" s="13"/>
      <c r="V42" s="13"/>
      <c r="W42" s="13"/>
      <c r="X42" s="37"/>
      <c r="Y42" s="67">
        <f>SUM(Z42:AD42)</f>
        <v>704.5669144981412</v>
      </c>
      <c r="Z42" s="97"/>
      <c r="AA42" s="97"/>
      <c r="AB42" s="97"/>
      <c r="AC42" s="97">
        <f>AQ42/AJ42</f>
        <v>704.5669144981412</v>
      </c>
      <c r="AD42" s="97"/>
      <c r="AE42" s="97"/>
      <c r="AF42" s="14">
        <f>AM42/Y42</f>
        <v>16.14</v>
      </c>
      <c r="AG42" s="37"/>
      <c r="AH42" s="37"/>
      <c r="AI42" s="13"/>
      <c r="AJ42" s="13">
        <v>16.14</v>
      </c>
      <c r="AK42" s="13"/>
      <c r="AL42" s="37"/>
      <c r="AM42" s="15">
        <f>SUM(AN42:AR42)</f>
        <v>11371.71</v>
      </c>
      <c r="AN42" s="13"/>
      <c r="AO42" s="13"/>
      <c r="AP42" s="13"/>
      <c r="AQ42" s="13">
        <f>4018.48+7353.23</f>
        <v>11371.71</v>
      </c>
      <c r="AR42" s="13"/>
      <c r="AS42" s="37"/>
      <c r="AT42" s="15">
        <f>SUM(AU42:AY42)</f>
        <v>0</v>
      </c>
      <c r="AU42" s="37"/>
      <c r="AV42" s="37"/>
      <c r="AW42" s="37"/>
      <c r="AX42" s="37"/>
      <c r="AY42" s="37"/>
      <c r="AZ42" s="13"/>
    </row>
    <row r="43" spans="1:52" ht="43.5" customHeight="1">
      <c r="A43" s="66"/>
      <c r="B43" s="39" t="s">
        <v>26</v>
      </c>
      <c r="C43" s="39"/>
      <c r="D43" s="64">
        <f>SUM(E43:I43)</f>
        <v>1272.822</v>
      </c>
      <c r="E43" s="125"/>
      <c r="F43" s="125"/>
      <c r="G43" s="125"/>
      <c r="H43" s="125"/>
      <c r="I43" s="128">
        <v>1272.822</v>
      </c>
      <c r="J43" s="13"/>
      <c r="K43" s="126">
        <f t="shared" si="5"/>
        <v>19.269395092165283</v>
      </c>
      <c r="L43" s="13"/>
      <c r="M43" s="13"/>
      <c r="N43" s="13"/>
      <c r="O43" s="13"/>
      <c r="P43" s="13">
        <v>19.27</v>
      </c>
      <c r="Q43" s="13"/>
      <c r="R43" s="14">
        <f>SUM(S43:W43)</f>
        <v>24526.51</v>
      </c>
      <c r="S43" s="13"/>
      <c r="T43" s="13"/>
      <c r="U43" s="13"/>
      <c r="V43" s="13"/>
      <c r="W43" s="13">
        <v>24526.51</v>
      </c>
      <c r="X43" s="13"/>
      <c r="Y43" s="64">
        <f>SUM(Z43:AD43)</f>
        <v>1272.8221809169763</v>
      </c>
      <c r="Z43" s="65"/>
      <c r="AA43" s="65"/>
      <c r="AB43" s="65"/>
      <c r="AC43" s="65"/>
      <c r="AD43" s="65">
        <f>AR43/AK43</f>
        <v>1272.8221809169763</v>
      </c>
      <c r="AE43" s="65"/>
      <c r="AF43" s="14">
        <f>AM43/Y43</f>
        <v>16.14</v>
      </c>
      <c r="AG43" s="13"/>
      <c r="AH43" s="13"/>
      <c r="AI43" s="13"/>
      <c r="AJ43" s="13"/>
      <c r="AK43" s="13">
        <v>16.14</v>
      </c>
      <c r="AL43" s="13"/>
      <c r="AM43" s="14">
        <f>SUM(AN43:AR43)</f>
        <v>20543.35</v>
      </c>
      <c r="AN43" s="13"/>
      <c r="AO43" s="13"/>
      <c r="AP43" s="13"/>
      <c r="AQ43" s="13"/>
      <c r="AR43" s="13">
        <f>7727.76+12815.59</f>
        <v>20543.35</v>
      </c>
      <c r="AS43" s="13"/>
      <c r="AT43" s="14">
        <f>SUM(AU43:AY43)</f>
        <v>3983.9328599999985</v>
      </c>
      <c r="AU43" s="37"/>
      <c r="AV43" s="37"/>
      <c r="AW43" s="37"/>
      <c r="AX43" s="37"/>
      <c r="AY43" s="37">
        <f>(P43-AK43)*I43</f>
        <v>3983.9328599999985</v>
      </c>
      <c r="AZ43" s="13"/>
    </row>
    <row r="44" spans="1:52" ht="81.75" customHeight="1">
      <c r="A44" s="9"/>
      <c r="B44" s="43" t="s">
        <v>27</v>
      </c>
      <c r="C44" s="10"/>
      <c r="D44" s="15">
        <f t="shared" si="29"/>
        <v>10513.32</v>
      </c>
      <c r="E44" s="97">
        <v>5564.7</v>
      </c>
      <c r="F44" s="97">
        <v>4948.62</v>
      </c>
      <c r="G44" s="37"/>
      <c r="H44" s="37"/>
      <c r="I44" s="37"/>
      <c r="J44" s="37"/>
      <c r="K44" s="15">
        <f t="shared" si="5"/>
        <v>27.84799949017057</v>
      </c>
      <c r="L44" s="37">
        <v>27.84</v>
      </c>
      <c r="M44" s="37">
        <v>27.84</v>
      </c>
      <c r="N44" s="37"/>
      <c r="O44" s="37"/>
      <c r="P44" s="37"/>
      <c r="Q44" s="37"/>
      <c r="R44" s="15">
        <f t="shared" si="30"/>
        <v>292774.93000000005</v>
      </c>
      <c r="S44" s="37">
        <v>154965.76</v>
      </c>
      <c r="T44" s="37">
        <v>137809.17</v>
      </c>
      <c r="U44" s="37"/>
      <c r="V44" s="37"/>
      <c r="W44" s="37"/>
      <c r="X44" s="37"/>
      <c r="Y44" s="67">
        <f t="shared" si="31"/>
        <v>10513.319508771929</v>
      </c>
      <c r="Z44" s="97">
        <f>AN44/AG44</f>
        <v>5564.703508771929</v>
      </c>
      <c r="AA44" s="97">
        <f>ROUND(AO44/AH44,3)</f>
        <v>4948.616</v>
      </c>
      <c r="AB44" s="97"/>
      <c r="AC44" s="97"/>
      <c r="AD44" s="97"/>
      <c r="AE44" s="97"/>
      <c r="AF44" s="15">
        <f t="shared" si="22"/>
        <v>17.231795328663218</v>
      </c>
      <c r="AG44" s="37">
        <v>17.1</v>
      </c>
      <c r="AH44" s="37">
        <v>17.38</v>
      </c>
      <c r="AI44" s="37"/>
      <c r="AJ44" s="37"/>
      <c r="AK44" s="37"/>
      <c r="AL44" s="37"/>
      <c r="AM44" s="15">
        <f>SUM(AN44:AS44)</f>
        <v>181163.37</v>
      </c>
      <c r="AN44" s="37">
        <f>10682.29+84474.14</f>
        <v>95156.43</v>
      </c>
      <c r="AO44" s="37">
        <f>32255+53751.94</f>
        <v>86006.94</v>
      </c>
      <c r="AP44" s="37"/>
      <c r="AQ44" s="37"/>
      <c r="AR44" s="37"/>
      <c r="AS44" s="37"/>
      <c r="AT44" s="15">
        <f t="shared" si="33"/>
        <v>111527.4432</v>
      </c>
      <c r="AU44" s="37">
        <f>(L44-AG44)*E44</f>
        <v>59764.87799999999</v>
      </c>
      <c r="AV44" s="37">
        <f>(M44-AH44)*F44</f>
        <v>51762.565200000005</v>
      </c>
      <c r="AW44" s="37"/>
      <c r="AX44" s="37"/>
      <c r="AY44" s="37"/>
      <c r="AZ44" s="13"/>
    </row>
    <row r="45" spans="1:52" ht="81.75" customHeight="1" thickBot="1">
      <c r="A45" s="38"/>
      <c r="B45" s="39" t="s">
        <v>28</v>
      </c>
      <c r="C45" s="40"/>
      <c r="D45" s="15">
        <f t="shared" si="29"/>
        <v>19581</v>
      </c>
      <c r="E45" s="13"/>
      <c r="F45" s="65">
        <v>19581</v>
      </c>
      <c r="G45" s="37"/>
      <c r="H45" s="37"/>
      <c r="I45" s="37"/>
      <c r="J45" s="37"/>
      <c r="K45" s="14">
        <f t="shared" si="5"/>
        <v>30.76259996935805</v>
      </c>
      <c r="L45" s="13"/>
      <c r="M45" s="37">
        <v>30.76</v>
      </c>
      <c r="N45" s="37"/>
      <c r="O45" s="37"/>
      <c r="P45" s="37"/>
      <c r="Q45" s="37"/>
      <c r="R45" s="15">
        <f t="shared" si="30"/>
        <v>602362.47</v>
      </c>
      <c r="S45" s="13"/>
      <c r="T45" s="13">
        <v>602362.47</v>
      </c>
      <c r="U45" s="13"/>
      <c r="V45" s="13"/>
      <c r="W45" s="13"/>
      <c r="X45" s="37"/>
      <c r="Y45" s="67">
        <f t="shared" si="31"/>
        <v>19581</v>
      </c>
      <c r="Z45" s="97"/>
      <c r="AA45" s="97">
        <f>ROUND(AO45/AH45,0)</f>
        <v>19581</v>
      </c>
      <c r="AB45" s="97" t="s">
        <v>34</v>
      </c>
      <c r="AC45" s="97"/>
      <c r="AD45" s="97"/>
      <c r="AE45" s="97"/>
      <c r="AF45" s="14">
        <f t="shared" si="22"/>
        <v>17.37993003421684</v>
      </c>
      <c r="AG45" s="37"/>
      <c r="AH45" s="37">
        <v>17.38</v>
      </c>
      <c r="AI45" s="13"/>
      <c r="AJ45" s="13"/>
      <c r="AK45" s="13"/>
      <c r="AL45" s="37"/>
      <c r="AM45" s="15">
        <f t="shared" si="32"/>
        <v>340316.41</v>
      </c>
      <c r="AN45" s="13"/>
      <c r="AO45" s="13">
        <f>125586.73+214729.68</f>
        <v>340316.41</v>
      </c>
      <c r="AP45" s="13"/>
      <c r="AQ45" s="13"/>
      <c r="AR45" s="13"/>
      <c r="AS45" s="37"/>
      <c r="AT45" s="15">
        <f t="shared" si="33"/>
        <v>261993.78000000006</v>
      </c>
      <c r="AU45" s="37"/>
      <c r="AV45" s="37">
        <f>(M45-AH45)*F45</f>
        <v>261993.78000000006</v>
      </c>
      <c r="AW45" s="37"/>
      <c r="AX45" s="37"/>
      <c r="AY45" s="37"/>
      <c r="AZ45" s="13"/>
    </row>
    <row r="46" spans="1:65" s="91" customFormat="1" ht="27.75" customHeight="1" thickBot="1">
      <c r="A46" s="88"/>
      <c r="B46" s="89" t="s">
        <v>46</v>
      </c>
      <c r="C46" s="89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>
        <f aca="true" t="shared" si="34" ref="R46:X46">R37+R27+R19+R7</f>
        <v>26695039.65</v>
      </c>
      <c r="S46" s="90">
        <f t="shared" si="34"/>
        <v>2335528.74</v>
      </c>
      <c r="T46" s="90">
        <f t="shared" si="34"/>
        <v>10657062.620000001</v>
      </c>
      <c r="U46" s="90">
        <f t="shared" si="34"/>
        <v>6106773.22</v>
      </c>
      <c r="V46" s="90">
        <f t="shared" si="34"/>
        <v>3910042.15</v>
      </c>
      <c r="W46" s="90">
        <f t="shared" si="34"/>
        <v>3425215.79</v>
      </c>
      <c r="X46" s="90">
        <f t="shared" si="34"/>
        <v>260417.13000000003</v>
      </c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>
        <f aca="true" t="shared" si="35" ref="AM46:AZ46">AM37+AM27+AM19+AM7</f>
        <v>15291505.37</v>
      </c>
      <c r="AN46" s="90">
        <f t="shared" si="35"/>
        <v>1228069.0899999999</v>
      </c>
      <c r="AO46" s="90">
        <f t="shared" si="35"/>
        <v>6998387.03</v>
      </c>
      <c r="AP46" s="90">
        <f t="shared" si="35"/>
        <v>3095089.84</v>
      </c>
      <c r="AQ46" s="90">
        <f t="shared" si="35"/>
        <v>2025051.31</v>
      </c>
      <c r="AR46" s="90">
        <f t="shared" si="35"/>
        <v>1742677.6400000001</v>
      </c>
      <c r="AS46" s="90">
        <f t="shared" si="35"/>
        <v>202230.46</v>
      </c>
      <c r="AT46" s="90">
        <f t="shared" si="35"/>
        <v>11405821.51951646</v>
      </c>
      <c r="AU46" s="90">
        <f t="shared" si="35"/>
        <v>1154812.203341</v>
      </c>
      <c r="AV46" s="90">
        <f t="shared" si="35"/>
        <v>3569618.311861954</v>
      </c>
      <c r="AW46" s="90">
        <f t="shared" si="35"/>
        <v>3017412.4681517426</v>
      </c>
      <c r="AX46" s="90">
        <f t="shared" si="35"/>
        <v>1929736.5476380002</v>
      </c>
      <c r="AY46" s="90">
        <f t="shared" si="35"/>
        <v>1676057.6413307611</v>
      </c>
      <c r="AZ46" s="90">
        <f t="shared" si="35"/>
        <v>58184.34719300002</v>
      </c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</row>
    <row r="47" spans="5:25" ht="25.5" customHeight="1">
      <c r="E47" s="6"/>
      <c r="Y47" s="6"/>
    </row>
    <row r="48" spans="2:57" ht="55.5" customHeight="1">
      <c r="B48" s="208"/>
      <c r="C48" s="208"/>
      <c r="D48" s="208"/>
      <c r="E48" s="208"/>
      <c r="U48" s="208"/>
      <c r="V48" s="208"/>
      <c r="W48" s="94"/>
      <c r="X48" s="94"/>
      <c r="Y48" s="94"/>
      <c r="Z48" s="94"/>
      <c r="AT48" s="213" t="s">
        <v>19</v>
      </c>
      <c r="AU48" s="213"/>
      <c r="AV48" s="213"/>
      <c r="AW48" s="213"/>
      <c r="AY48" s="214" t="s">
        <v>45</v>
      </c>
      <c r="AZ48" s="214"/>
      <c r="BA48" s="208"/>
      <c r="BB48" s="208"/>
      <c r="BC48" s="208"/>
      <c r="BD48" s="208"/>
      <c r="BE48" s="208"/>
    </row>
    <row r="49" spans="5:26" ht="55.5" customHeight="1">
      <c r="E49" s="6"/>
      <c r="Y49" s="6"/>
      <c r="Z49" s="6"/>
    </row>
    <row r="50" spans="5:54" ht="26.25">
      <c r="E50" s="6"/>
      <c r="Y50" s="6"/>
      <c r="Z50" s="6"/>
      <c r="AT50" s="6"/>
      <c r="AV50" s="93"/>
      <c r="BA50" s="6"/>
      <c r="BB50" s="6"/>
    </row>
    <row r="51" spans="5:26" ht="26.25">
      <c r="E51" s="6"/>
      <c r="Y51" s="6"/>
      <c r="Z51" s="6"/>
    </row>
    <row r="52" spans="5:26" ht="26.25">
      <c r="E52" s="6"/>
      <c r="Y52" s="6"/>
      <c r="Z52" s="6"/>
    </row>
    <row r="53" spans="5:26" ht="26.25">
      <c r="E53" s="6"/>
      <c r="Y53" s="6"/>
      <c r="Z53" s="6"/>
    </row>
    <row r="54" spans="5:26" ht="26.25">
      <c r="E54" s="6"/>
      <c r="Y54" s="6"/>
      <c r="Z54" s="6"/>
    </row>
    <row r="55" spans="5:26" ht="26.25">
      <c r="E55" s="6"/>
      <c r="Y55" s="6"/>
      <c r="Z55" s="6"/>
    </row>
    <row r="56" spans="5:26" ht="26.25">
      <c r="E56" s="6"/>
      <c r="Y56" s="6"/>
      <c r="Z56" s="6"/>
    </row>
    <row r="57" spans="5:26" ht="26.25">
      <c r="E57" s="6"/>
      <c r="Y57" s="6"/>
      <c r="Z57" s="6"/>
    </row>
    <row r="58" spans="5:26" ht="26.25">
      <c r="E58" s="6"/>
      <c r="Y58" s="6"/>
      <c r="Z58" s="6"/>
    </row>
    <row r="59" spans="5:26" ht="26.25">
      <c r="E59" s="6"/>
      <c r="Y59" s="6"/>
      <c r="Z59" s="6"/>
    </row>
    <row r="60" spans="5:26" ht="26.25">
      <c r="E60" s="6"/>
      <c r="Y60" s="6"/>
      <c r="Z60" s="6"/>
    </row>
    <row r="61" spans="5:26" ht="26.25">
      <c r="E61" s="6"/>
      <c r="Y61" s="6"/>
      <c r="Z61" s="6"/>
    </row>
    <row r="62" spans="5:26" ht="26.25">
      <c r="E62" s="6"/>
      <c r="Y62" s="6"/>
      <c r="Z62" s="6"/>
    </row>
    <row r="63" spans="5:26" ht="26.25">
      <c r="E63" s="6"/>
      <c r="Y63" s="6"/>
      <c r="Z63" s="6"/>
    </row>
    <row r="64" spans="5:26" ht="26.25">
      <c r="E64" s="6"/>
      <c r="Y64" s="6"/>
      <c r="Z64" s="6"/>
    </row>
    <row r="65" spans="5:26" ht="26.25">
      <c r="E65" s="6"/>
      <c r="Y65" s="6"/>
      <c r="Z65" s="6"/>
    </row>
    <row r="66" spans="5:26" ht="26.25">
      <c r="E66" s="6"/>
      <c r="Y66" s="6"/>
      <c r="Z66" s="6"/>
    </row>
    <row r="67" spans="5:26" ht="26.25">
      <c r="E67" s="6"/>
      <c r="Y67" s="6"/>
      <c r="Z67" s="6"/>
    </row>
    <row r="68" spans="5:26" ht="26.25">
      <c r="E68" s="6"/>
      <c r="Y68" s="6"/>
      <c r="Z68" s="6"/>
    </row>
    <row r="69" spans="5:26" ht="26.25">
      <c r="E69" s="6"/>
      <c r="Y69" s="6"/>
      <c r="Z69" s="6"/>
    </row>
    <row r="70" spans="5:26" ht="26.25">
      <c r="E70" s="6"/>
      <c r="Y70" s="6"/>
      <c r="Z70" s="6"/>
    </row>
    <row r="71" spans="5:26" ht="26.25">
      <c r="E71" s="6"/>
      <c r="Y71" s="6"/>
      <c r="Z71" s="6"/>
    </row>
    <row r="72" spans="5:26" ht="26.25">
      <c r="E72" s="6"/>
      <c r="Y72" s="6"/>
      <c r="Z72" s="6"/>
    </row>
    <row r="73" spans="5:26" ht="26.25">
      <c r="E73" s="6"/>
      <c r="Y73" s="6"/>
      <c r="Z73" s="6"/>
    </row>
    <row r="74" spans="5:26" ht="26.25">
      <c r="E74" s="6"/>
      <c r="Y74" s="6"/>
      <c r="Z74" s="6"/>
    </row>
    <row r="75" spans="5:26" ht="26.25">
      <c r="E75" s="6"/>
      <c r="Y75" s="6"/>
      <c r="Z75" s="6"/>
    </row>
    <row r="76" spans="5:26" ht="26.25">
      <c r="E76" s="6"/>
      <c r="Y76" s="6"/>
      <c r="Z76" s="6"/>
    </row>
    <row r="77" spans="5:26" ht="26.25">
      <c r="E77" s="6"/>
      <c r="Y77" s="6"/>
      <c r="Z77" s="6"/>
    </row>
    <row r="78" spans="5:26" ht="26.25">
      <c r="E78" s="6"/>
      <c r="Y78" s="6"/>
      <c r="Z78" s="6"/>
    </row>
    <row r="79" spans="5:26" ht="26.25">
      <c r="E79" s="6"/>
      <c r="Y79" s="6"/>
      <c r="Z79" s="6"/>
    </row>
    <row r="80" spans="5:26" ht="26.25">
      <c r="E80" s="6"/>
      <c r="Y80" s="6"/>
      <c r="Z80" s="6"/>
    </row>
    <row r="81" spans="5:26" ht="26.25">
      <c r="E81" s="6"/>
      <c r="Y81" s="6"/>
      <c r="Z81" s="6"/>
    </row>
    <row r="82" spans="5:26" ht="26.25">
      <c r="E82" s="6"/>
      <c r="Y82" s="6"/>
      <c r="Z82" s="6"/>
    </row>
    <row r="83" spans="5:26" ht="26.25">
      <c r="E83" s="6"/>
      <c r="Y83" s="6"/>
      <c r="Z83" s="6"/>
    </row>
    <row r="84" spans="5:26" ht="26.25">
      <c r="E84" s="6"/>
      <c r="Y84" s="6"/>
      <c r="Z84" s="6"/>
    </row>
    <row r="85" spans="5:26" ht="26.25">
      <c r="E85" s="6"/>
      <c r="Y85" s="6"/>
      <c r="Z85" s="6"/>
    </row>
    <row r="86" spans="5:26" ht="26.25">
      <c r="E86" s="6"/>
      <c r="Y86" s="6"/>
      <c r="Z86" s="6"/>
    </row>
    <row r="87" spans="5:26" ht="26.25">
      <c r="E87" s="6"/>
      <c r="Y87" s="6"/>
      <c r="Z87" s="6"/>
    </row>
    <row r="88" spans="5:26" ht="26.25">
      <c r="E88" s="6"/>
      <c r="Y88" s="6"/>
      <c r="Z88" s="6"/>
    </row>
    <row r="89" spans="5:26" ht="26.25">
      <c r="E89" s="6"/>
      <c r="Y89" s="6"/>
      <c r="Z89" s="6"/>
    </row>
    <row r="90" spans="25:26" ht="26.25">
      <c r="Y90" s="6"/>
      <c r="Z90" s="6"/>
    </row>
    <row r="91" spans="25:26" ht="26.25">
      <c r="Y91" s="6"/>
      <c r="Z91" s="6"/>
    </row>
    <row r="92" spans="25:26" ht="26.25">
      <c r="Y92" s="6"/>
      <c r="Z92" s="6"/>
    </row>
    <row r="93" spans="25:26" ht="26.25">
      <c r="Y93" s="6"/>
      <c r="Z93" s="6"/>
    </row>
    <row r="94" spans="25:26" ht="26.25">
      <c r="Y94" s="6"/>
      <c r="Z94" s="6"/>
    </row>
    <row r="95" spans="25:26" ht="26.25">
      <c r="Y95" s="6"/>
      <c r="Z95" s="6"/>
    </row>
    <row r="96" spans="25:26" ht="26.25">
      <c r="Y96" s="6"/>
      <c r="Z96" s="6"/>
    </row>
    <row r="97" spans="25:26" ht="26.25">
      <c r="Y97" s="6"/>
      <c r="Z97" s="6"/>
    </row>
    <row r="98" spans="25:26" ht="26.25">
      <c r="Y98" s="6"/>
      <c r="Z98" s="6"/>
    </row>
    <row r="99" spans="25:26" ht="26.25">
      <c r="Y99" s="6"/>
      <c r="Z99" s="6"/>
    </row>
    <row r="100" spans="25:26" ht="26.25">
      <c r="Y100" s="6"/>
      <c r="Z100" s="6"/>
    </row>
    <row r="101" spans="25:26" ht="26.25">
      <c r="Y101" s="6"/>
      <c r="Z101" s="6"/>
    </row>
    <row r="102" spans="25:26" ht="26.25">
      <c r="Y102" s="6"/>
      <c r="Z102" s="6"/>
    </row>
    <row r="103" spans="25:26" ht="26.25">
      <c r="Y103" s="6"/>
      <c r="Z103" s="6"/>
    </row>
    <row r="104" spans="25:26" ht="26.25">
      <c r="Y104" s="6"/>
      <c r="Z104" s="6"/>
    </row>
    <row r="105" spans="25:26" ht="26.25">
      <c r="Y105" s="6"/>
      <c r="Z105" s="6"/>
    </row>
    <row r="106" spans="25:26" ht="26.25">
      <c r="Y106" s="6"/>
      <c r="Z106" s="6"/>
    </row>
    <row r="107" spans="25:26" ht="26.25">
      <c r="Y107" s="6"/>
      <c r="Z107" s="6"/>
    </row>
    <row r="108" spans="25:26" ht="26.25">
      <c r="Y108" s="6"/>
      <c r="Z108" s="6"/>
    </row>
    <row r="109" spans="25:26" ht="26.25">
      <c r="Y109" s="6"/>
      <c r="Z109" s="6"/>
    </row>
    <row r="110" spans="25:26" ht="26.25">
      <c r="Y110" s="6"/>
      <c r="Z110" s="6"/>
    </row>
    <row r="111" spans="25:26" ht="26.25">
      <c r="Y111" s="6"/>
      <c r="Z111" s="6"/>
    </row>
    <row r="112" spans="25:26" ht="26.25">
      <c r="Y112" s="6"/>
      <c r="Z112" s="6"/>
    </row>
    <row r="113" spans="25:26" ht="26.25">
      <c r="Y113" s="6"/>
      <c r="Z113" s="6"/>
    </row>
    <row r="114" spans="25:26" ht="26.25">
      <c r="Y114" s="6"/>
      <c r="Z114" s="6"/>
    </row>
    <row r="115" spans="25:26" ht="26.25">
      <c r="Y115" s="6"/>
      <c r="Z115" s="6"/>
    </row>
    <row r="116" spans="25:26" ht="26.25">
      <c r="Y116" s="6"/>
      <c r="Z116" s="6"/>
    </row>
    <row r="117" spans="25:26" ht="26.25">
      <c r="Y117" s="6"/>
      <c r="Z117" s="6"/>
    </row>
    <row r="118" spans="25:26" ht="26.25">
      <c r="Y118" s="6"/>
      <c r="Z118" s="6"/>
    </row>
    <row r="119" spans="25:26" ht="26.25">
      <c r="Y119" s="6"/>
      <c r="Z119" s="6"/>
    </row>
    <row r="120" spans="25:26" ht="26.25">
      <c r="Y120" s="6"/>
      <c r="Z120" s="6"/>
    </row>
    <row r="121" spans="25:26" ht="26.25">
      <c r="Y121" s="6"/>
      <c r="Z121" s="6"/>
    </row>
    <row r="122" spans="25:26" ht="26.25">
      <c r="Y122" s="6"/>
      <c r="Z122" s="6"/>
    </row>
    <row r="123" spans="25:26" ht="26.25">
      <c r="Y123" s="6"/>
      <c r="Z123" s="6"/>
    </row>
    <row r="124" spans="25:26" ht="26.25">
      <c r="Y124" s="6"/>
      <c r="Z124" s="6"/>
    </row>
    <row r="125" spans="25:26" ht="26.25">
      <c r="Y125" s="6"/>
      <c r="Z125" s="6"/>
    </row>
    <row r="126" spans="25:26" ht="26.25">
      <c r="Y126" s="6"/>
      <c r="Z126" s="6"/>
    </row>
    <row r="127" spans="25:26" ht="26.25">
      <c r="Y127" s="6"/>
      <c r="Z127" s="6"/>
    </row>
    <row r="128" spans="25:26" ht="26.25">
      <c r="Y128" s="6"/>
      <c r="Z128" s="6"/>
    </row>
    <row r="129" spans="25:26" ht="26.25">
      <c r="Y129" s="6"/>
      <c r="Z129" s="6"/>
    </row>
    <row r="130" spans="25:26" ht="26.25">
      <c r="Y130" s="6"/>
      <c r="Z130" s="6"/>
    </row>
    <row r="131" spans="25:26" ht="26.25">
      <c r="Y131" s="6"/>
      <c r="Z131" s="6"/>
    </row>
    <row r="132" spans="25:26" ht="26.25">
      <c r="Y132" s="6"/>
      <c r="Z132" s="6"/>
    </row>
    <row r="133" spans="25:26" ht="26.25">
      <c r="Y133" s="6"/>
      <c r="Z133" s="6"/>
    </row>
    <row r="134" spans="25:26" ht="26.25">
      <c r="Y134" s="6"/>
      <c r="Z134" s="6"/>
    </row>
    <row r="135" spans="25:26" ht="26.25">
      <c r="Y135" s="6"/>
      <c r="Z135" s="6"/>
    </row>
    <row r="136" spans="25:26" ht="26.25">
      <c r="Y136" s="6"/>
      <c r="Z136" s="6"/>
    </row>
    <row r="137" spans="25:26" ht="26.25">
      <c r="Y137" s="6"/>
      <c r="Z137" s="6"/>
    </row>
    <row r="138" spans="25:26" ht="26.25">
      <c r="Y138" s="6"/>
      <c r="Z138" s="6"/>
    </row>
    <row r="139" spans="25:26" ht="26.25">
      <c r="Y139" s="6"/>
      <c r="Z139" s="6"/>
    </row>
    <row r="140" spans="25:26" ht="26.25">
      <c r="Y140" s="6"/>
      <c r="Z140" s="6"/>
    </row>
    <row r="141" spans="25:26" ht="26.25">
      <c r="Y141" s="6"/>
      <c r="Z141" s="6"/>
    </row>
    <row r="142" spans="25:26" ht="26.25">
      <c r="Y142" s="6"/>
      <c r="Z142" s="6"/>
    </row>
    <row r="143" spans="25:26" ht="26.25">
      <c r="Y143" s="6"/>
      <c r="Z143" s="6"/>
    </row>
    <row r="144" spans="25:26" ht="26.25">
      <c r="Y144" s="6"/>
      <c r="Z144" s="6"/>
    </row>
    <row r="145" spans="25:26" ht="26.25">
      <c r="Y145" s="6"/>
      <c r="Z145" s="6"/>
    </row>
    <row r="146" spans="25:26" ht="26.25">
      <c r="Y146" s="6"/>
      <c r="Z146" s="6"/>
    </row>
    <row r="147" spans="25:26" ht="26.25">
      <c r="Y147" s="6"/>
      <c r="Z147" s="6"/>
    </row>
    <row r="148" spans="25:26" ht="26.25">
      <c r="Y148" s="6"/>
      <c r="Z148" s="6"/>
    </row>
    <row r="149" spans="25:26" ht="26.25">
      <c r="Y149" s="6"/>
      <c r="Z149" s="6"/>
    </row>
    <row r="150" spans="25:26" ht="26.25">
      <c r="Y150" s="6"/>
      <c r="Z150" s="6"/>
    </row>
    <row r="151" spans="25:26" ht="26.25">
      <c r="Y151" s="6"/>
      <c r="Z151" s="6"/>
    </row>
    <row r="152" spans="25:26" ht="26.25">
      <c r="Y152" s="6"/>
      <c r="Z152" s="6"/>
    </row>
    <row r="153" spans="25:26" ht="26.25">
      <c r="Y153" s="6"/>
      <c r="Z153" s="6"/>
    </row>
    <row r="154" spans="25:26" ht="26.25">
      <c r="Y154" s="6"/>
      <c r="Z154" s="6"/>
    </row>
    <row r="155" spans="25:26" ht="26.25">
      <c r="Y155" s="6"/>
      <c r="Z155" s="6"/>
    </row>
    <row r="156" spans="25:26" ht="26.25">
      <c r="Y156" s="6"/>
      <c r="Z156" s="6"/>
    </row>
    <row r="157" spans="25:26" ht="26.25">
      <c r="Y157" s="6"/>
      <c r="Z157" s="6"/>
    </row>
    <row r="158" spans="25:26" ht="26.25">
      <c r="Y158" s="6"/>
      <c r="Z158" s="6"/>
    </row>
    <row r="159" spans="25:26" ht="26.25">
      <c r="Y159" s="6"/>
      <c r="Z159" s="6"/>
    </row>
    <row r="160" spans="25:26" ht="26.25">
      <c r="Y160" s="6"/>
      <c r="Z160" s="6"/>
    </row>
    <row r="161" spans="25:26" ht="26.25">
      <c r="Y161" s="6"/>
      <c r="Z161" s="6"/>
    </row>
    <row r="162" spans="25:26" ht="26.25">
      <c r="Y162" s="6"/>
      <c r="Z162" s="6"/>
    </row>
    <row r="163" spans="25:26" ht="26.25">
      <c r="Y163" s="6"/>
      <c r="Z163" s="6"/>
    </row>
    <row r="164" spans="25:26" ht="26.25">
      <c r="Y164" s="6"/>
      <c r="Z164" s="6"/>
    </row>
    <row r="165" spans="25:26" ht="26.25">
      <c r="Y165" s="6"/>
      <c r="Z165" s="6"/>
    </row>
    <row r="166" spans="25:26" ht="26.25">
      <c r="Y166" s="6"/>
      <c r="Z166" s="6"/>
    </row>
    <row r="167" spans="25:26" ht="26.25">
      <c r="Y167" s="6"/>
      <c r="Z167" s="6"/>
    </row>
    <row r="168" spans="25:26" ht="26.25">
      <c r="Y168" s="6"/>
      <c r="Z168" s="6"/>
    </row>
    <row r="169" spans="25:26" ht="26.25">
      <c r="Y169" s="6"/>
      <c r="Z169" s="6"/>
    </row>
    <row r="170" spans="25:26" ht="26.25">
      <c r="Y170" s="6"/>
      <c r="Z170" s="6"/>
    </row>
    <row r="171" spans="25:26" ht="26.25">
      <c r="Y171" s="6"/>
      <c r="Z171" s="6"/>
    </row>
    <row r="172" spans="25:26" ht="26.25">
      <c r="Y172" s="6"/>
      <c r="Z172" s="6"/>
    </row>
    <row r="173" spans="25:26" ht="26.25">
      <c r="Y173" s="6"/>
      <c r="Z173" s="6"/>
    </row>
    <row r="174" spans="25:26" ht="26.25">
      <c r="Y174" s="6"/>
      <c r="Z174" s="6"/>
    </row>
    <row r="175" spans="25:26" ht="26.25">
      <c r="Y175" s="6"/>
      <c r="Z175" s="6"/>
    </row>
    <row r="176" spans="25:26" ht="26.25">
      <c r="Y176" s="6"/>
      <c r="Z176" s="6"/>
    </row>
    <row r="177" spans="25:26" ht="26.25">
      <c r="Y177" s="6"/>
      <c r="Z177" s="6"/>
    </row>
    <row r="178" spans="25:26" ht="26.25">
      <c r="Y178" s="6"/>
      <c r="Z178" s="6"/>
    </row>
    <row r="179" spans="25:26" ht="26.25">
      <c r="Y179" s="6"/>
      <c r="Z179" s="6"/>
    </row>
    <row r="180" spans="25:26" ht="26.25">
      <c r="Y180" s="6"/>
      <c r="Z180" s="6"/>
    </row>
    <row r="181" spans="25:26" ht="26.25">
      <c r="Y181" s="6"/>
      <c r="Z181" s="6"/>
    </row>
    <row r="182" spans="25:26" ht="26.25">
      <c r="Y182" s="6"/>
      <c r="Z182" s="6"/>
    </row>
    <row r="183" spans="25:26" ht="26.25">
      <c r="Y183" s="6"/>
      <c r="Z183" s="6"/>
    </row>
    <row r="184" spans="25:26" ht="26.25">
      <c r="Y184" s="6"/>
      <c r="Z184" s="6"/>
    </row>
    <row r="185" spans="25:26" ht="26.25">
      <c r="Y185" s="6"/>
      <c r="Z185" s="6"/>
    </row>
    <row r="186" spans="25:26" ht="26.25">
      <c r="Y186" s="6"/>
      <c r="Z186" s="6"/>
    </row>
    <row r="187" spans="25:26" ht="26.25">
      <c r="Y187" s="6"/>
      <c r="Z187" s="6"/>
    </row>
    <row r="188" spans="25:26" ht="26.25">
      <c r="Y188" s="6"/>
      <c r="Z188" s="6"/>
    </row>
    <row r="189" spans="25:26" ht="26.25">
      <c r="Y189" s="6"/>
      <c r="Z189" s="6"/>
    </row>
    <row r="190" spans="25:26" ht="26.25">
      <c r="Y190" s="6"/>
      <c r="Z190" s="6"/>
    </row>
    <row r="191" spans="25:26" ht="26.25">
      <c r="Y191" s="6"/>
      <c r="Z191" s="6"/>
    </row>
    <row r="192" spans="25:26" ht="26.25">
      <c r="Y192" s="6"/>
      <c r="Z192" s="6"/>
    </row>
    <row r="193" spans="25:26" ht="26.25">
      <c r="Y193" s="6"/>
      <c r="Z193" s="6"/>
    </row>
    <row r="194" spans="25:26" ht="26.25">
      <c r="Y194" s="6"/>
      <c r="Z194" s="6"/>
    </row>
    <row r="195" spans="25:26" ht="26.25">
      <c r="Y195" s="6"/>
      <c r="Z195" s="6"/>
    </row>
    <row r="196" spans="25:26" ht="26.25">
      <c r="Y196" s="6"/>
      <c r="Z196" s="6"/>
    </row>
    <row r="197" spans="25:26" ht="26.25">
      <c r="Y197" s="6"/>
      <c r="Z197" s="6"/>
    </row>
    <row r="198" spans="25:26" ht="26.25">
      <c r="Y198" s="6"/>
      <c r="Z198" s="6"/>
    </row>
    <row r="199" spans="25:26" ht="26.25">
      <c r="Y199" s="6"/>
      <c r="Z199" s="6"/>
    </row>
    <row r="200" spans="25:26" ht="26.25">
      <c r="Y200" s="6"/>
      <c r="Z200" s="6"/>
    </row>
    <row r="201" spans="25:26" ht="26.25">
      <c r="Y201" s="6"/>
      <c r="Z201" s="6"/>
    </row>
    <row r="202" spans="25:26" ht="26.25">
      <c r="Y202" s="6"/>
      <c r="Z202" s="6"/>
    </row>
    <row r="203" spans="25:26" ht="26.25">
      <c r="Y203" s="6"/>
      <c r="Z203" s="6"/>
    </row>
    <row r="204" spans="25:26" ht="26.25">
      <c r="Y204" s="6"/>
      <c r="Z204" s="6"/>
    </row>
    <row r="205" spans="25:26" ht="26.25">
      <c r="Y205" s="6"/>
      <c r="Z205" s="6"/>
    </row>
    <row r="206" spans="25:26" ht="26.25">
      <c r="Y206" s="6"/>
      <c r="Z206" s="6"/>
    </row>
    <row r="207" spans="25:26" ht="26.25">
      <c r="Y207" s="6"/>
      <c r="Z207" s="6"/>
    </row>
    <row r="208" spans="25:26" ht="26.25">
      <c r="Y208" s="6"/>
      <c r="Z208" s="6"/>
    </row>
    <row r="209" spans="25:26" ht="26.25">
      <c r="Y209" s="6"/>
      <c r="Z209" s="6"/>
    </row>
    <row r="210" spans="25:26" ht="26.25">
      <c r="Y210" s="6"/>
      <c r="Z210" s="6"/>
    </row>
    <row r="211" spans="25:26" ht="26.25">
      <c r="Y211" s="6"/>
      <c r="Z211" s="6"/>
    </row>
    <row r="212" spans="25:26" ht="26.25">
      <c r="Y212" s="6"/>
      <c r="Z212" s="6"/>
    </row>
    <row r="213" spans="25:26" ht="26.25">
      <c r="Y213" s="6"/>
      <c r="Z213" s="6"/>
    </row>
    <row r="214" spans="25:26" ht="26.25">
      <c r="Y214" s="6"/>
      <c r="Z214" s="6"/>
    </row>
    <row r="215" spans="25:26" ht="26.25">
      <c r="Y215" s="6"/>
      <c r="Z215" s="6"/>
    </row>
    <row r="216" spans="25:26" ht="26.25">
      <c r="Y216" s="6"/>
      <c r="Z216" s="6"/>
    </row>
    <row r="217" spans="25:26" ht="26.25">
      <c r="Y217" s="6"/>
      <c r="Z217" s="6"/>
    </row>
    <row r="218" spans="25:26" ht="26.25">
      <c r="Y218" s="6"/>
      <c r="Z218" s="6"/>
    </row>
    <row r="219" spans="25:26" ht="26.25">
      <c r="Y219" s="6"/>
      <c r="Z219" s="6"/>
    </row>
    <row r="220" spans="25:26" ht="26.25">
      <c r="Y220" s="6"/>
      <c r="Z220" s="6"/>
    </row>
    <row r="221" spans="25:26" ht="26.25">
      <c r="Y221" s="6"/>
      <c r="Z221" s="6"/>
    </row>
    <row r="222" spans="25:26" ht="26.25">
      <c r="Y222" s="6"/>
      <c r="Z222" s="6"/>
    </row>
    <row r="223" spans="25:26" ht="26.25">
      <c r="Y223" s="6"/>
      <c r="Z223" s="6"/>
    </row>
    <row r="224" spans="25:26" ht="26.25">
      <c r="Y224" s="6"/>
      <c r="Z224" s="6"/>
    </row>
    <row r="225" spans="25:26" ht="26.25">
      <c r="Y225" s="6"/>
      <c r="Z225" s="6"/>
    </row>
    <row r="226" spans="25:26" ht="26.25">
      <c r="Y226" s="6"/>
      <c r="Z226" s="6"/>
    </row>
    <row r="227" spans="25:26" ht="26.25">
      <c r="Y227" s="6"/>
      <c r="Z227" s="6"/>
    </row>
    <row r="228" spans="25:26" ht="26.25">
      <c r="Y228" s="6"/>
      <c r="Z228" s="6"/>
    </row>
    <row r="229" spans="25:26" ht="26.25">
      <c r="Y229" s="6"/>
      <c r="Z229" s="6"/>
    </row>
    <row r="230" spans="25:26" ht="26.25">
      <c r="Y230" s="6"/>
      <c r="Z230" s="6"/>
    </row>
    <row r="231" spans="25:26" ht="26.25">
      <c r="Y231" s="6"/>
      <c r="Z231" s="6"/>
    </row>
    <row r="232" spans="25:26" ht="26.25">
      <c r="Y232" s="6"/>
      <c r="Z232" s="6"/>
    </row>
    <row r="233" spans="25:26" ht="26.25">
      <c r="Y233" s="6"/>
      <c r="Z233" s="6"/>
    </row>
    <row r="234" spans="25:26" ht="26.25">
      <c r="Y234" s="6"/>
      <c r="Z234" s="6"/>
    </row>
    <row r="235" spans="25:26" ht="26.25">
      <c r="Y235" s="6"/>
      <c r="Z235" s="6"/>
    </row>
    <row r="236" spans="25:26" ht="26.25">
      <c r="Y236" s="6"/>
      <c r="Z236" s="6"/>
    </row>
    <row r="237" spans="25:26" ht="26.25">
      <c r="Y237" s="6"/>
      <c r="Z237" s="6"/>
    </row>
    <row r="238" spans="25:26" ht="26.25">
      <c r="Y238" s="6"/>
      <c r="Z238" s="6"/>
    </row>
    <row r="239" spans="25:26" ht="26.25">
      <c r="Y239" s="6"/>
      <c r="Z239" s="6"/>
    </row>
    <row r="240" spans="25:26" ht="26.25">
      <c r="Y240" s="6"/>
      <c r="Z240" s="6"/>
    </row>
    <row r="241" spans="25:26" ht="26.25">
      <c r="Y241" s="6"/>
      <c r="Z241" s="6"/>
    </row>
    <row r="242" spans="25:26" ht="26.25">
      <c r="Y242" s="6"/>
      <c r="Z242" s="6"/>
    </row>
    <row r="243" spans="25:26" ht="26.25">
      <c r="Y243" s="6"/>
      <c r="Z243" s="6"/>
    </row>
    <row r="244" spans="25:26" ht="26.25">
      <c r="Y244" s="6"/>
      <c r="Z244" s="6"/>
    </row>
    <row r="245" spans="25:26" ht="26.25">
      <c r="Y245" s="6"/>
      <c r="Z245" s="6"/>
    </row>
    <row r="246" spans="25:26" ht="26.25">
      <c r="Y246" s="6"/>
      <c r="Z246" s="6"/>
    </row>
    <row r="247" spans="25:26" ht="26.25">
      <c r="Y247" s="6"/>
      <c r="Z247" s="6"/>
    </row>
    <row r="248" spans="25:26" ht="26.25">
      <c r="Y248" s="6"/>
      <c r="Z248" s="6"/>
    </row>
    <row r="249" spans="25:26" ht="26.25">
      <c r="Y249" s="6"/>
      <c r="Z249" s="6"/>
    </row>
    <row r="250" spans="25:26" ht="26.25">
      <c r="Y250" s="6"/>
      <c r="Z250" s="6"/>
    </row>
    <row r="251" spans="25:26" ht="26.25">
      <c r="Y251" s="6"/>
      <c r="Z251" s="6"/>
    </row>
    <row r="252" spans="25:26" ht="26.25">
      <c r="Y252" s="6"/>
      <c r="Z252" s="6"/>
    </row>
    <row r="253" spans="25:26" ht="26.25">
      <c r="Y253" s="6"/>
      <c r="Z253" s="6"/>
    </row>
    <row r="254" spans="25:26" ht="26.25">
      <c r="Y254" s="6"/>
      <c r="Z254" s="6"/>
    </row>
    <row r="255" spans="25:26" ht="26.25">
      <c r="Y255" s="6"/>
      <c r="Z255" s="6"/>
    </row>
    <row r="256" spans="25:26" ht="26.25">
      <c r="Y256" s="6"/>
      <c r="Z256" s="6"/>
    </row>
    <row r="257" spans="25:26" ht="26.25">
      <c r="Y257" s="6"/>
      <c r="Z257" s="6"/>
    </row>
    <row r="258" spans="25:26" ht="26.25">
      <c r="Y258" s="6"/>
      <c r="Z258" s="6"/>
    </row>
    <row r="259" spans="25:26" ht="26.25">
      <c r="Y259" s="6"/>
      <c r="Z259" s="6"/>
    </row>
    <row r="260" spans="25:26" ht="26.25">
      <c r="Y260" s="6"/>
      <c r="Z260" s="6"/>
    </row>
    <row r="261" spans="25:26" ht="26.25">
      <c r="Y261" s="6"/>
      <c r="Z261" s="6"/>
    </row>
    <row r="262" spans="25:26" ht="26.25">
      <c r="Y262" s="6"/>
      <c r="Z262" s="6"/>
    </row>
    <row r="263" spans="25:26" ht="26.25">
      <c r="Y263" s="6"/>
      <c r="Z263" s="6"/>
    </row>
    <row r="264" spans="25:26" ht="26.25">
      <c r="Y264" s="6"/>
      <c r="Z264" s="6"/>
    </row>
    <row r="265" spans="25:26" ht="26.25">
      <c r="Y265" s="6"/>
      <c r="Z265" s="6"/>
    </row>
    <row r="266" spans="25:26" ht="26.25">
      <c r="Y266" s="6"/>
      <c r="Z266" s="6"/>
    </row>
    <row r="267" spans="25:26" ht="26.25">
      <c r="Y267" s="6"/>
      <c r="Z267" s="6"/>
    </row>
    <row r="268" spans="25:26" ht="26.25">
      <c r="Y268" s="6"/>
      <c r="Z268" s="6"/>
    </row>
    <row r="269" spans="25:26" ht="26.25">
      <c r="Y269" s="6"/>
      <c r="Z269" s="6"/>
    </row>
    <row r="270" spans="25:26" ht="26.25">
      <c r="Y270" s="6"/>
      <c r="Z270" s="6"/>
    </row>
    <row r="271" spans="25:26" ht="26.25">
      <c r="Y271" s="6"/>
      <c r="Z271" s="6"/>
    </row>
    <row r="272" spans="25:26" ht="26.25">
      <c r="Y272" s="6"/>
      <c r="Z272" s="6"/>
    </row>
    <row r="273" spans="25:26" ht="26.25">
      <c r="Y273" s="6"/>
      <c r="Z273" s="6"/>
    </row>
    <row r="274" spans="25:26" ht="26.25">
      <c r="Y274" s="6"/>
      <c r="Z274" s="6"/>
    </row>
    <row r="275" spans="25:26" ht="26.25">
      <c r="Y275" s="6"/>
      <c r="Z275" s="6"/>
    </row>
    <row r="276" spans="25:26" ht="26.25">
      <c r="Y276" s="6"/>
      <c r="Z276" s="6"/>
    </row>
    <row r="277" spans="25:26" ht="26.25">
      <c r="Y277" s="6"/>
      <c r="Z277" s="6"/>
    </row>
    <row r="278" spans="25:26" ht="26.25">
      <c r="Y278" s="6"/>
      <c r="Z278" s="6"/>
    </row>
    <row r="279" spans="25:26" ht="26.25">
      <c r="Y279" s="6"/>
      <c r="Z279" s="6"/>
    </row>
    <row r="280" spans="25:26" ht="26.25">
      <c r="Y280" s="6"/>
      <c r="Z280" s="6"/>
    </row>
    <row r="281" spans="25:26" ht="26.25">
      <c r="Y281" s="6"/>
      <c r="Z281" s="6"/>
    </row>
    <row r="282" spans="25:26" ht="26.25">
      <c r="Y282" s="6"/>
      <c r="Z282" s="6"/>
    </row>
    <row r="283" spans="25:26" ht="26.25">
      <c r="Y283" s="6"/>
      <c r="Z283" s="6"/>
    </row>
    <row r="284" spans="25:26" ht="26.25">
      <c r="Y284" s="6"/>
      <c r="Z284" s="6"/>
    </row>
    <row r="285" spans="25:26" ht="26.25">
      <c r="Y285" s="6"/>
      <c r="Z285" s="6"/>
    </row>
    <row r="286" spans="25:26" ht="26.25">
      <c r="Y286" s="6"/>
      <c r="Z286" s="6"/>
    </row>
    <row r="287" spans="25:26" ht="26.25">
      <c r="Y287" s="6"/>
      <c r="Z287" s="6"/>
    </row>
    <row r="288" spans="25:26" ht="26.25">
      <c r="Y288" s="6"/>
      <c r="Z288" s="6"/>
    </row>
    <row r="289" spans="25:26" ht="26.25">
      <c r="Y289" s="6"/>
      <c r="Z289" s="6"/>
    </row>
    <row r="290" spans="25:26" ht="26.25">
      <c r="Y290" s="6"/>
      <c r="Z290" s="6"/>
    </row>
    <row r="291" spans="25:26" ht="26.25">
      <c r="Y291" s="6"/>
      <c r="Z291" s="6"/>
    </row>
    <row r="292" spans="25:26" ht="26.25">
      <c r="Y292" s="6"/>
      <c r="Z292" s="6"/>
    </row>
    <row r="293" spans="25:26" ht="26.25">
      <c r="Y293" s="6"/>
      <c r="Z293" s="6"/>
    </row>
    <row r="294" spans="25:26" ht="26.25">
      <c r="Y294" s="6"/>
      <c r="Z294" s="6"/>
    </row>
    <row r="295" spans="25:26" ht="26.25">
      <c r="Y295" s="6"/>
      <c r="Z295" s="6"/>
    </row>
    <row r="296" spans="25:26" ht="26.25">
      <c r="Y296" s="6"/>
      <c r="Z296" s="6"/>
    </row>
    <row r="297" spans="25:26" ht="26.25">
      <c r="Y297" s="6"/>
      <c r="Z297" s="6"/>
    </row>
    <row r="298" spans="25:26" ht="26.25">
      <c r="Y298" s="6"/>
      <c r="Z298" s="6"/>
    </row>
    <row r="299" spans="25:26" ht="26.25">
      <c r="Y299" s="6"/>
      <c r="Z299" s="6"/>
    </row>
    <row r="300" spans="25:26" ht="26.25">
      <c r="Y300" s="6"/>
      <c r="Z300" s="6"/>
    </row>
    <row r="301" spans="25:26" ht="26.25">
      <c r="Y301" s="6"/>
      <c r="Z301" s="6"/>
    </row>
    <row r="302" spans="25:26" ht="26.25">
      <c r="Y302" s="6"/>
      <c r="Z302" s="6"/>
    </row>
    <row r="303" spans="25:26" ht="26.25">
      <c r="Y303" s="6"/>
      <c r="Z303" s="6"/>
    </row>
    <row r="304" spans="25:26" ht="26.25">
      <c r="Y304" s="6"/>
      <c r="Z304" s="6"/>
    </row>
    <row r="305" spans="25:26" ht="26.25">
      <c r="Y305" s="6"/>
      <c r="Z305" s="6"/>
    </row>
    <row r="306" spans="25:26" ht="26.25">
      <c r="Y306" s="6"/>
      <c r="Z306" s="6"/>
    </row>
    <row r="307" spans="25:26" ht="26.25">
      <c r="Y307" s="6"/>
      <c r="Z307" s="6"/>
    </row>
    <row r="308" spans="25:26" ht="26.25">
      <c r="Y308" s="6"/>
      <c r="Z308" s="6"/>
    </row>
    <row r="309" spans="25:26" ht="26.25">
      <c r="Y309" s="6"/>
      <c r="Z309" s="6"/>
    </row>
    <row r="310" spans="25:26" ht="26.25">
      <c r="Y310" s="6"/>
      <c r="Z310" s="6"/>
    </row>
    <row r="311" spans="25:26" ht="26.25">
      <c r="Y311" s="6"/>
      <c r="Z311" s="6"/>
    </row>
    <row r="312" spans="25:26" ht="26.25">
      <c r="Y312" s="6"/>
      <c r="Z312" s="6"/>
    </row>
    <row r="313" spans="25:26" ht="26.25">
      <c r="Y313" s="6"/>
      <c r="Z313" s="6"/>
    </row>
    <row r="314" spans="25:26" ht="26.25">
      <c r="Y314" s="6"/>
      <c r="Z314" s="6"/>
    </row>
    <row r="315" spans="25:26" ht="26.25">
      <c r="Y315" s="6"/>
      <c r="Z315" s="6"/>
    </row>
    <row r="316" spans="25:26" ht="26.25">
      <c r="Y316" s="6"/>
      <c r="Z316" s="6"/>
    </row>
    <row r="317" spans="25:26" ht="26.25">
      <c r="Y317" s="6"/>
      <c r="Z317" s="6"/>
    </row>
    <row r="318" spans="25:26" ht="26.25">
      <c r="Y318" s="6"/>
      <c r="Z318" s="6"/>
    </row>
    <row r="319" spans="25:26" ht="26.25">
      <c r="Y319" s="6"/>
      <c r="Z319" s="6"/>
    </row>
    <row r="320" spans="25:26" ht="26.25">
      <c r="Y320" s="6"/>
      <c r="Z320" s="6"/>
    </row>
    <row r="321" spans="25:26" ht="26.25">
      <c r="Y321" s="6"/>
      <c r="Z321" s="6"/>
    </row>
    <row r="322" spans="25:26" ht="26.25">
      <c r="Y322" s="6"/>
      <c r="Z322" s="6"/>
    </row>
    <row r="323" spans="25:26" ht="26.25">
      <c r="Y323" s="6"/>
      <c r="Z323" s="6"/>
    </row>
    <row r="324" spans="25:26" ht="26.25">
      <c r="Y324" s="6"/>
      <c r="Z324" s="6"/>
    </row>
    <row r="325" spans="25:26" ht="26.25">
      <c r="Y325" s="6"/>
      <c r="Z325" s="6"/>
    </row>
    <row r="326" spans="25:26" ht="26.25">
      <c r="Y326" s="6"/>
      <c r="Z326" s="6"/>
    </row>
    <row r="327" spans="25:26" ht="26.25">
      <c r="Y327" s="6"/>
      <c r="Z327" s="6"/>
    </row>
    <row r="328" spans="25:26" ht="26.25">
      <c r="Y328" s="6"/>
      <c r="Z328" s="6"/>
    </row>
    <row r="329" spans="25:26" ht="26.25">
      <c r="Y329" s="6"/>
      <c r="Z329" s="6"/>
    </row>
    <row r="330" spans="25:26" ht="26.25">
      <c r="Y330" s="6"/>
      <c r="Z330" s="6"/>
    </row>
    <row r="331" spans="25:26" ht="26.25">
      <c r="Y331" s="6"/>
      <c r="Z331" s="6"/>
    </row>
    <row r="332" spans="25:26" ht="26.25">
      <c r="Y332" s="6"/>
      <c r="Z332" s="6"/>
    </row>
    <row r="333" spans="25:26" ht="26.25">
      <c r="Y333" s="6"/>
      <c r="Z333" s="6"/>
    </row>
    <row r="334" spans="25:26" ht="26.25">
      <c r="Y334" s="6"/>
      <c r="Z334" s="6"/>
    </row>
    <row r="335" spans="25:26" ht="26.25">
      <c r="Y335" s="6"/>
      <c r="Z335" s="6"/>
    </row>
    <row r="336" spans="25:26" ht="26.25">
      <c r="Y336" s="6"/>
      <c r="Z336" s="6"/>
    </row>
    <row r="337" spans="25:26" ht="26.25">
      <c r="Y337" s="6"/>
      <c r="Z337" s="6"/>
    </row>
    <row r="338" spans="25:26" ht="26.25">
      <c r="Y338" s="6"/>
      <c r="Z338" s="6"/>
    </row>
    <row r="339" spans="25:26" ht="26.25">
      <c r="Y339" s="6"/>
      <c r="Z339" s="6"/>
    </row>
    <row r="340" spans="25:26" ht="26.25">
      <c r="Y340" s="6"/>
      <c r="Z340" s="6"/>
    </row>
    <row r="341" spans="25:26" ht="26.25">
      <c r="Y341" s="6"/>
      <c r="Z341" s="6"/>
    </row>
    <row r="342" spans="25:26" ht="26.25">
      <c r="Y342" s="6"/>
      <c r="Z342" s="6"/>
    </row>
    <row r="343" spans="25:26" ht="26.25">
      <c r="Y343" s="6"/>
      <c r="Z343" s="6"/>
    </row>
    <row r="344" spans="25:26" ht="26.25">
      <c r="Y344" s="6"/>
      <c r="Z344" s="6"/>
    </row>
    <row r="345" spans="25:26" ht="26.25">
      <c r="Y345" s="6"/>
      <c r="Z345" s="6"/>
    </row>
    <row r="346" spans="25:26" ht="26.25">
      <c r="Y346" s="6"/>
      <c r="Z346" s="6"/>
    </row>
    <row r="347" spans="25:26" ht="26.25">
      <c r="Y347" s="6"/>
      <c r="Z347" s="6"/>
    </row>
    <row r="348" spans="25:26" ht="26.25">
      <c r="Y348" s="6"/>
      <c r="Z348" s="6"/>
    </row>
    <row r="349" spans="25:26" ht="26.25">
      <c r="Y349" s="6"/>
      <c r="Z349" s="6"/>
    </row>
    <row r="350" spans="25:26" ht="26.25">
      <c r="Y350" s="6"/>
      <c r="Z350" s="6"/>
    </row>
    <row r="351" spans="25:26" ht="26.25">
      <c r="Y351" s="6"/>
      <c r="Z351" s="6"/>
    </row>
    <row r="352" spans="25:26" ht="26.25">
      <c r="Y352" s="6"/>
      <c r="Z352" s="6"/>
    </row>
    <row r="353" spans="25:26" ht="26.25">
      <c r="Y353" s="6"/>
      <c r="Z353" s="6"/>
    </row>
    <row r="354" spans="25:26" ht="26.25">
      <c r="Y354" s="6"/>
      <c r="Z354" s="6"/>
    </row>
    <row r="355" spans="25:26" ht="26.25">
      <c r="Y355" s="6"/>
      <c r="Z355" s="6"/>
    </row>
    <row r="356" spans="25:26" ht="26.25">
      <c r="Y356" s="6"/>
      <c r="Z356" s="6"/>
    </row>
    <row r="357" spans="25:26" ht="26.25">
      <c r="Y357" s="6"/>
      <c r="Z357" s="6"/>
    </row>
    <row r="358" spans="25:26" ht="26.25">
      <c r="Y358" s="6"/>
      <c r="Z358" s="6"/>
    </row>
    <row r="359" spans="25:26" ht="26.25">
      <c r="Y359" s="6"/>
      <c r="Z359" s="6"/>
    </row>
    <row r="360" spans="25:26" ht="26.25">
      <c r="Y360" s="6"/>
      <c r="Z360" s="6"/>
    </row>
    <row r="361" spans="25:26" ht="26.25">
      <c r="Y361" s="6"/>
      <c r="Z361" s="6"/>
    </row>
    <row r="362" spans="25:26" ht="26.25">
      <c r="Y362" s="6"/>
      <c r="Z362" s="6"/>
    </row>
    <row r="363" spans="25:26" ht="26.25">
      <c r="Y363" s="6"/>
      <c r="Z363" s="6"/>
    </row>
    <row r="364" spans="25:26" ht="26.25">
      <c r="Y364" s="6"/>
      <c r="Z364" s="6"/>
    </row>
    <row r="365" spans="25:26" ht="26.25">
      <c r="Y365" s="6"/>
      <c r="Z365" s="6"/>
    </row>
    <row r="366" spans="25:26" ht="26.25">
      <c r="Y366" s="6"/>
      <c r="Z366" s="6"/>
    </row>
    <row r="367" spans="25:26" ht="26.25">
      <c r="Y367" s="6"/>
      <c r="Z367" s="6"/>
    </row>
    <row r="368" spans="25:26" ht="26.25">
      <c r="Y368" s="6"/>
      <c r="Z368" s="6"/>
    </row>
    <row r="369" spans="25:26" ht="26.25">
      <c r="Y369" s="6"/>
      <c r="Z369" s="6"/>
    </row>
    <row r="370" spans="25:26" ht="26.25">
      <c r="Y370" s="6"/>
      <c r="Z370" s="6"/>
    </row>
    <row r="371" spans="25:26" ht="26.25">
      <c r="Y371" s="6"/>
      <c r="Z371" s="6"/>
    </row>
    <row r="372" spans="25:26" ht="26.25">
      <c r="Y372" s="6"/>
      <c r="Z372" s="6"/>
    </row>
    <row r="373" spans="25:26" ht="26.25">
      <c r="Y373" s="6"/>
      <c r="Z373" s="6"/>
    </row>
    <row r="374" spans="25:26" ht="26.25">
      <c r="Y374" s="6"/>
      <c r="Z374" s="6"/>
    </row>
    <row r="375" spans="25:26" ht="26.25">
      <c r="Y375" s="6"/>
      <c r="Z375" s="6"/>
    </row>
    <row r="376" spans="25:26" ht="26.25">
      <c r="Y376" s="6"/>
      <c r="Z376" s="6"/>
    </row>
    <row r="377" spans="25:26" ht="26.25">
      <c r="Y377" s="6"/>
      <c r="Z377" s="6"/>
    </row>
    <row r="378" spans="25:26" ht="26.25">
      <c r="Y378" s="6"/>
      <c r="Z378" s="6"/>
    </row>
    <row r="379" spans="25:26" ht="26.25">
      <c r="Y379" s="6"/>
      <c r="Z379" s="6"/>
    </row>
    <row r="380" spans="25:26" ht="26.25">
      <c r="Y380" s="6"/>
      <c r="Z380" s="6"/>
    </row>
    <row r="381" spans="25:26" ht="26.25">
      <c r="Y381" s="6"/>
      <c r="Z381" s="6"/>
    </row>
    <row r="382" spans="25:26" ht="26.25">
      <c r="Y382" s="6"/>
      <c r="Z382" s="6"/>
    </row>
    <row r="383" spans="25:26" ht="26.25">
      <c r="Y383" s="6"/>
      <c r="Z383" s="6"/>
    </row>
    <row r="384" spans="25:26" ht="26.25">
      <c r="Y384" s="6"/>
      <c r="Z384" s="6"/>
    </row>
    <row r="385" spans="25:26" ht="26.25">
      <c r="Y385" s="6"/>
      <c r="Z385" s="6"/>
    </row>
    <row r="386" spans="25:26" ht="26.25">
      <c r="Y386" s="6"/>
      <c r="Z386" s="6"/>
    </row>
    <row r="387" spans="25:26" ht="26.25">
      <c r="Y387" s="6"/>
      <c r="Z387" s="6"/>
    </row>
    <row r="388" spans="25:26" ht="26.25">
      <c r="Y388" s="6"/>
      <c r="Z388" s="6"/>
    </row>
    <row r="389" spans="25:26" ht="26.25">
      <c r="Y389" s="6"/>
      <c r="Z389" s="6"/>
    </row>
    <row r="390" spans="25:26" ht="26.25">
      <c r="Y390" s="6"/>
      <c r="Z390" s="6"/>
    </row>
    <row r="391" spans="25:26" ht="26.25">
      <c r="Y391" s="6"/>
      <c r="Z391" s="6"/>
    </row>
    <row r="392" spans="25:26" ht="26.25">
      <c r="Y392" s="6"/>
      <c r="Z392" s="6"/>
    </row>
    <row r="393" spans="25:26" ht="26.25">
      <c r="Y393" s="6"/>
      <c r="Z393" s="6"/>
    </row>
    <row r="394" spans="25:26" ht="26.25">
      <c r="Y394" s="6"/>
      <c r="Z394" s="6"/>
    </row>
    <row r="395" spans="25:26" ht="26.25">
      <c r="Y395" s="6"/>
      <c r="Z395" s="6"/>
    </row>
    <row r="396" spans="25:26" ht="26.25">
      <c r="Y396" s="6"/>
      <c r="Z396" s="6"/>
    </row>
    <row r="397" spans="25:26" ht="26.25">
      <c r="Y397" s="6"/>
      <c r="Z397" s="6"/>
    </row>
    <row r="398" spans="25:26" ht="26.25">
      <c r="Y398" s="6"/>
      <c r="Z398" s="6"/>
    </row>
    <row r="399" spans="25:26" ht="26.25">
      <c r="Y399" s="6"/>
      <c r="Z399" s="6"/>
    </row>
    <row r="400" spans="25:26" ht="26.25">
      <c r="Y400" s="6"/>
      <c r="Z400" s="6"/>
    </row>
    <row r="401" spans="25:26" ht="26.25">
      <c r="Y401" s="6"/>
      <c r="Z401" s="6"/>
    </row>
    <row r="402" spans="25:26" ht="26.25">
      <c r="Y402" s="6"/>
      <c r="Z402" s="6"/>
    </row>
    <row r="403" spans="25:26" ht="26.25">
      <c r="Y403" s="6"/>
      <c r="Z403" s="6"/>
    </row>
    <row r="404" spans="25:26" ht="26.25">
      <c r="Y404" s="6"/>
      <c r="Z404" s="6"/>
    </row>
    <row r="405" spans="25:26" ht="26.25">
      <c r="Y405" s="6"/>
      <c r="Z405" s="6"/>
    </row>
    <row r="406" spans="25:26" ht="26.25">
      <c r="Y406" s="6"/>
      <c r="Z406" s="6"/>
    </row>
    <row r="407" spans="25:26" ht="26.25">
      <c r="Y407" s="6"/>
      <c r="Z407" s="6"/>
    </row>
    <row r="408" spans="25:26" ht="26.25">
      <c r="Y408" s="6"/>
      <c r="Z408" s="6"/>
    </row>
    <row r="409" spans="25:26" ht="26.25">
      <c r="Y409" s="6"/>
      <c r="Z409" s="6"/>
    </row>
    <row r="410" spans="25:26" ht="26.25">
      <c r="Y410" s="6"/>
      <c r="Z410" s="6"/>
    </row>
    <row r="411" spans="25:26" ht="26.25">
      <c r="Y411" s="6"/>
      <c r="Z411" s="6"/>
    </row>
    <row r="412" spans="25:26" ht="26.25">
      <c r="Y412" s="6"/>
      <c r="Z412" s="6"/>
    </row>
    <row r="413" spans="25:26" ht="26.25">
      <c r="Y413" s="6"/>
      <c r="Z413" s="6"/>
    </row>
    <row r="414" spans="25:26" ht="26.25">
      <c r="Y414" s="6"/>
      <c r="Z414" s="6"/>
    </row>
    <row r="415" spans="25:26" ht="26.25">
      <c r="Y415" s="6"/>
      <c r="Z415" s="6"/>
    </row>
    <row r="416" spans="25:26" ht="26.25">
      <c r="Y416" s="6"/>
      <c r="Z416" s="6"/>
    </row>
    <row r="417" spans="25:26" ht="26.25">
      <c r="Y417" s="6"/>
      <c r="Z417" s="6"/>
    </row>
    <row r="418" spans="25:26" ht="26.25">
      <c r="Y418" s="6"/>
      <c r="Z418" s="6"/>
    </row>
    <row r="419" spans="25:26" ht="26.25">
      <c r="Y419" s="6"/>
      <c r="Z419" s="6"/>
    </row>
    <row r="420" spans="25:26" ht="26.25">
      <c r="Y420" s="6"/>
      <c r="Z420" s="6"/>
    </row>
    <row r="421" spans="25:26" ht="26.25">
      <c r="Y421" s="6"/>
      <c r="Z421" s="6"/>
    </row>
    <row r="422" spans="25:26" ht="26.25">
      <c r="Y422" s="6"/>
      <c r="Z422" s="6"/>
    </row>
    <row r="423" spans="25:26" ht="26.25">
      <c r="Y423" s="6"/>
      <c r="Z423" s="6"/>
    </row>
    <row r="424" spans="25:26" ht="26.25">
      <c r="Y424" s="6"/>
      <c r="Z424" s="6"/>
    </row>
    <row r="425" spans="25:26" ht="26.25">
      <c r="Y425" s="6"/>
      <c r="Z425" s="6"/>
    </row>
    <row r="426" spans="25:26" ht="26.25">
      <c r="Y426" s="6"/>
      <c r="Z426" s="6"/>
    </row>
    <row r="427" spans="25:26" ht="26.25">
      <c r="Y427" s="6"/>
      <c r="Z427" s="6"/>
    </row>
    <row r="428" spans="25:26" ht="26.25">
      <c r="Y428" s="6"/>
      <c r="Z428" s="6"/>
    </row>
    <row r="429" spans="25:26" ht="26.25">
      <c r="Y429" s="6"/>
      <c r="Z429" s="6"/>
    </row>
    <row r="430" spans="25:26" ht="26.25">
      <c r="Y430" s="6"/>
      <c r="Z430" s="6"/>
    </row>
    <row r="431" spans="25:26" ht="26.25">
      <c r="Y431" s="6"/>
      <c r="Z431" s="6"/>
    </row>
    <row r="432" spans="25:26" ht="26.25">
      <c r="Y432" s="6"/>
      <c r="Z432" s="6"/>
    </row>
    <row r="433" spans="25:26" ht="26.25">
      <c r="Y433" s="6"/>
      <c r="Z433" s="6"/>
    </row>
    <row r="434" spans="25:26" ht="26.25">
      <c r="Y434" s="6"/>
      <c r="Z434" s="6"/>
    </row>
    <row r="435" spans="25:26" ht="26.25">
      <c r="Y435" s="6"/>
      <c r="Z435" s="6"/>
    </row>
    <row r="436" spans="25:26" ht="26.25">
      <c r="Y436" s="6"/>
      <c r="Z436" s="6"/>
    </row>
    <row r="437" spans="25:26" ht="26.25">
      <c r="Y437" s="6"/>
      <c r="Z437" s="6"/>
    </row>
    <row r="438" spans="25:26" ht="26.25">
      <c r="Y438" s="6"/>
      <c r="Z438" s="6"/>
    </row>
    <row r="439" spans="25:26" ht="26.25">
      <c r="Y439" s="6"/>
      <c r="Z439" s="6"/>
    </row>
    <row r="440" spans="25:26" ht="26.25">
      <c r="Y440" s="6"/>
      <c r="Z440" s="6"/>
    </row>
    <row r="441" spans="25:26" ht="26.25">
      <c r="Y441" s="6"/>
      <c r="Z441" s="6"/>
    </row>
    <row r="442" spans="25:26" ht="26.25">
      <c r="Y442" s="6"/>
      <c r="Z442" s="6"/>
    </row>
    <row r="443" spans="25:26" ht="26.25">
      <c r="Y443" s="6"/>
      <c r="Z443" s="6"/>
    </row>
    <row r="444" spans="25:26" ht="26.25">
      <c r="Y444" s="6"/>
      <c r="Z444" s="6"/>
    </row>
    <row r="445" spans="25:26" ht="26.25">
      <c r="Y445" s="6"/>
      <c r="Z445" s="6"/>
    </row>
    <row r="446" spans="25:26" ht="26.25">
      <c r="Y446" s="6"/>
      <c r="Z446" s="6"/>
    </row>
    <row r="447" spans="25:26" ht="26.25">
      <c r="Y447" s="6"/>
      <c r="Z447" s="6"/>
    </row>
    <row r="448" spans="25:26" ht="26.25">
      <c r="Y448" s="6"/>
      <c r="Z448" s="6"/>
    </row>
    <row r="449" spans="25:26" ht="26.25">
      <c r="Y449" s="6"/>
      <c r="Z449" s="6"/>
    </row>
    <row r="450" spans="25:26" ht="26.25">
      <c r="Y450" s="6"/>
      <c r="Z450" s="6"/>
    </row>
    <row r="451" spans="25:26" ht="26.25">
      <c r="Y451" s="6"/>
      <c r="Z451" s="6"/>
    </row>
    <row r="452" spans="25:26" ht="26.25">
      <c r="Y452" s="6"/>
      <c r="Z452" s="6"/>
    </row>
    <row r="453" spans="25:26" ht="26.25">
      <c r="Y453" s="6"/>
      <c r="Z453" s="6"/>
    </row>
    <row r="454" spans="25:26" ht="26.25">
      <c r="Y454" s="6"/>
      <c r="Z454" s="6"/>
    </row>
    <row r="455" spans="25:26" ht="26.25">
      <c r="Y455" s="6"/>
      <c r="Z455" s="6"/>
    </row>
    <row r="456" spans="25:26" ht="26.25">
      <c r="Y456" s="6"/>
      <c r="Z456" s="6"/>
    </row>
    <row r="457" spans="25:26" ht="26.25">
      <c r="Y457" s="6"/>
      <c r="Z457" s="6"/>
    </row>
    <row r="458" spans="25:26" ht="26.25">
      <c r="Y458" s="6"/>
      <c r="Z458" s="6"/>
    </row>
    <row r="459" spans="25:26" ht="26.25">
      <c r="Y459" s="6"/>
      <c r="Z459" s="6"/>
    </row>
    <row r="460" spans="25:26" ht="26.25">
      <c r="Y460" s="6"/>
      <c r="Z460" s="6"/>
    </row>
    <row r="461" spans="25:26" ht="26.25">
      <c r="Y461" s="6"/>
      <c r="Z461" s="6"/>
    </row>
    <row r="462" spans="25:26" ht="26.25">
      <c r="Y462" s="6"/>
      <c r="Z462" s="6"/>
    </row>
    <row r="463" spans="25:26" ht="26.25">
      <c r="Y463" s="6"/>
      <c r="Z463" s="6"/>
    </row>
    <row r="464" spans="25:26" ht="26.25">
      <c r="Y464" s="6"/>
      <c r="Z464" s="6"/>
    </row>
    <row r="465" spans="25:26" ht="26.25">
      <c r="Y465" s="6"/>
      <c r="Z465" s="6"/>
    </row>
    <row r="466" spans="25:26" ht="26.25">
      <c r="Y466" s="6"/>
      <c r="Z466" s="6"/>
    </row>
    <row r="467" spans="25:26" ht="26.25">
      <c r="Y467" s="6"/>
      <c r="Z467" s="6"/>
    </row>
    <row r="468" spans="25:26" ht="26.25">
      <c r="Y468" s="6"/>
      <c r="Z468" s="6"/>
    </row>
    <row r="469" spans="25:26" ht="26.25">
      <c r="Y469" s="6"/>
      <c r="Z469" s="6"/>
    </row>
    <row r="470" spans="25:26" ht="26.25">
      <c r="Y470" s="6"/>
      <c r="Z470" s="6"/>
    </row>
    <row r="471" spans="25:26" ht="26.25">
      <c r="Y471" s="6"/>
      <c r="Z471" s="6"/>
    </row>
    <row r="472" spans="25:26" ht="26.25">
      <c r="Y472" s="6"/>
      <c r="Z472" s="6"/>
    </row>
    <row r="473" spans="25:26" ht="26.25">
      <c r="Y473" s="6"/>
      <c r="Z473" s="6"/>
    </row>
    <row r="474" spans="25:26" ht="26.25">
      <c r="Y474" s="6"/>
      <c r="Z474" s="6"/>
    </row>
    <row r="475" spans="25:26" ht="26.25">
      <c r="Y475" s="6"/>
      <c r="Z475" s="6"/>
    </row>
    <row r="476" spans="25:26" ht="26.25">
      <c r="Y476" s="6"/>
      <c r="Z476" s="6"/>
    </row>
    <row r="477" spans="25:26" ht="26.25">
      <c r="Y477" s="6"/>
      <c r="Z477" s="6"/>
    </row>
    <row r="478" spans="25:26" ht="26.25">
      <c r="Y478" s="6"/>
      <c r="Z478" s="6"/>
    </row>
    <row r="479" spans="25:26" ht="26.25">
      <c r="Y479" s="6"/>
      <c r="Z479" s="6"/>
    </row>
    <row r="480" spans="25:26" ht="26.25">
      <c r="Y480" s="6"/>
      <c r="Z480" s="6"/>
    </row>
    <row r="481" spans="25:26" ht="26.25">
      <c r="Y481" s="6"/>
      <c r="Z481" s="6"/>
    </row>
    <row r="482" spans="25:26" ht="26.25">
      <c r="Y482" s="6"/>
      <c r="Z482" s="6"/>
    </row>
    <row r="483" spans="25:26" ht="26.25">
      <c r="Y483" s="6"/>
      <c r="Z483" s="6"/>
    </row>
    <row r="484" spans="25:26" ht="26.25">
      <c r="Y484" s="6"/>
      <c r="Z484" s="6"/>
    </row>
    <row r="485" spans="25:26" ht="26.25">
      <c r="Y485" s="6"/>
      <c r="Z485" s="6"/>
    </row>
    <row r="486" spans="25:26" ht="26.25">
      <c r="Y486" s="6"/>
      <c r="Z486" s="6"/>
    </row>
    <row r="487" spans="25:26" ht="26.25">
      <c r="Y487" s="6"/>
      <c r="Z487" s="6"/>
    </row>
    <row r="488" spans="25:26" ht="26.25">
      <c r="Y488" s="6"/>
      <c r="Z488" s="6"/>
    </row>
    <row r="489" spans="25:26" ht="26.25">
      <c r="Y489" s="6"/>
      <c r="Z489" s="6"/>
    </row>
    <row r="490" spans="25:26" ht="26.25">
      <c r="Y490" s="6"/>
      <c r="Z490" s="6"/>
    </row>
    <row r="491" spans="25:26" ht="26.25">
      <c r="Y491" s="6"/>
      <c r="Z491" s="6"/>
    </row>
    <row r="492" spans="25:26" ht="26.25">
      <c r="Y492" s="6"/>
      <c r="Z492" s="6"/>
    </row>
    <row r="493" spans="25:26" ht="26.25">
      <c r="Y493" s="6"/>
      <c r="Z493" s="6"/>
    </row>
    <row r="494" spans="25:26" ht="26.25">
      <c r="Y494" s="6"/>
      <c r="Z494" s="6"/>
    </row>
    <row r="495" spans="25:26" ht="26.25">
      <c r="Y495" s="6"/>
      <c r="Z495" s="6"/>
    </row>
    <row r="496" spans="25:26" ht="26.25">
      <c r="Y496" s="6"/>
      <c r="Z496" s="6"/>
    </row>
    <row r="497" spans="25:26" ht="26.25">
      <c r="Y497" s="6"/>
      <c r="Z497" s="6"/>
    </row>
    <row r="498" spans="25:26" ht="26.25">
      <c r="Y498" s="6"/>
      <c r="Z498" s="6"/>
    </row>
    <row r="499" spans="25:26" ht="26.25">
      <c r="Y499" s="6"/>
      <c r="Z499" s="6"/>
    </row>
    <row r="500" spans="25:26" ht="26.25">
      <c r="Y500" s="6"/>
      <c r="Z500" s="6"/>
    </row>
    <row r="501" spans="25:26" ht="26.25">
      <c r="Y501" s="6"/>
      <c r="Z501" s="6"/>
    </row>
    <row r="502" spans="25:26" ht="26.25">
      <c r="Y502" s="6"/>
      <c r="Z502" s="6"/>
    </row>
    <row r="503" spans="25:26" ht="26.25">
      <c r="Y503" s="6"/>
      <c r="Z503" s="6"/>
    </row>
    <row r="504" spans="25:26" ht="26.25">
      <c r="Y504" s="6"/>
      <c r="Z504" s="6"/>
    </row>
  </sheetData>
  <sheetProtection/>
  <mergeCells count="17">
    <mergeCell ref="BA48:BE48"/>
    <mergeCell ref="AM4:AS4"/>
    <mergeCell ref="AT4:AZ4"/>
    <mergeCell ref="B48:E48"/>
    <mergeCell ref="U48:V48"/>
    <mergeCell ref="AT48:AW48"/>
    <mergeCell ref="AY48:AZ48"/>
    <mergeCell ref="A1:AP1"/>
    <mergeCell ref="A2:AP2"/>
    <mergeCell ref="A4:A5"/>
    <mergeCell ref="B4:B5"/>
    <mergeCell ref="C4:C5"/>
    <mergeCell ref="D4:I4"/>
    <mergeCell ref="K4:P4"/>
    <mergeCell ref="R4:W4"/>
    <mergeCell ref="Y4:AE4"/>
    <mergeCell ref="AF4:AL4"/>
  </mergeCells>
  <printOptions/>
  <pageMargins left="0" right="0" top="0" bottom="0" header="0.1968503937007874" footer="0.2755905511811024"/>
  <pageSetup horizontalDpi="600" verticalDpi="600" orientation="landscape" paperSize="9" scale="25" r:id="rId1"/>
  <colBreaks count="2" manualBreakCount="2">
    <brk id="24" max="47" man="1"/>
    <brk id="45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M504"/>
  <sheetViews>
    <sheetView view="pageBreakPreview" zoomScale="50" zoomScaleNormal="49" zoomScaleSheetLayoutView="50" zoomScalePageLayoutView="0" workbookViewId="0" topLeftCell="A1">
      <pane xSplit="2" ySplit="6" topLeftCell="V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31" sqref="F31"/>
    </sheetView>
  </sheetViews>
  <sheetFormatPr defaultColWidth="9.00390625" defaultRowHeight="12.75"/>
  <cols>
    <col min="1" max="1" width="11.125" style="5" customWidth="1"/>
    <col min="2" max="2" width="74.00390625" style="5" customWidth="1"/>
    <col min="3" max="3" width="11.125" style="5" customWidth="1"/>
    <col min="4" max="4" width="22.00390625" style="6" customWidth="1"/>
    <col min="5" max="5" width="22.125" style="92" customWidth="1"/>
    <col min="6" max="6" width="20.125" style="92" customWidth="1"/>
    <col min="7" max="7" width="20.25390625" style="92" customWidth="1"/>
    <col min="8" max="8" width="20.75390625" style="92" customWidth="1"/>
    <col min="9" max="9" width="21.625" style="92" customWidth="1"/>
    <col min="10" max="10" width="19.625" style="92" customWidth="1"/>
    <col min="11" max="11" width="21.75390625" style="6" customWidth="1"/>
    <col min="12" max="12" width="20.375" style="6" customWidth="1"/>
    <col min="13" max="13" width="16.625" style="6" customWidth="1"/>
    <col min="14" max="14" width="19.75390625" style="6" customWidth="1"/>
    <col min="15" max="15" width="18.00390625" style="6" customWidth="1"/>
    <col min="16" max="17" width="20.25390625" style="6" customWidth="1"/>
    <col min="18" max="18" width="24.125" style="6" customWidth="1"/>
    <col min="19" max="19" width="23.625" style="6" customWidth="1"/>
    <col min="20" max="20" width="24.00390625" style="6" customWidth="1"/>
    <col min="21" max="21" width="25.625" style="6" customWidth="1"/>
    <col min="22" max="22" width="23.00390625" style="6" customWidth="1"/>
    <col min="23" max="24" width="26.625" style="6" customWidth="1"/>
    <col min="25" max="25" width="21.625" style="95" customWidth="1"/>
    <col min="26" max="26" width="27.25390625" style="92" customWidth="1"/>
    <col min="27" max="27" width="21.625" style="92" customWidth="1"/>
    <col min="28" max="28" width="20.125" style="92" customWidth="1"/>
    <col min="29" max="29" width="20.375" style="92" customWidth="1"/>
    <col min="30" max="30" width="20.875" style="92" customWidth="1"/>
    <col min="31" max="31" width="21.75390625" style="92" customWidth="1"/>
    <col min="32" max="32" width="17.375" style="6" customWidth="1"/>
    <col min="33" max="33" width="17.75390625" style="6" customWidth="1"/>
    <col min="34" max="34" width="17.875" style="6" customWidth="1"/>
    <col min="35" max="35" width="17.00390625" style="6" customWidth="1"/>
    <col min="36" max="36" width="16.125" style="6" customWidth="1"/>
    <col min="37" max="37" width="17.25390625" style="6" customWidth="1"/>
    <col min="38" max="38" width="19.625" style="6" customWidth="1"/>
    <col min="39" max="39" width="26.875" style="6" customWidth="1"/>
    <col min="40" max="40" width="24.375" style="6" customWidth="1"/>
    <col min="41" max="41" width="25.375" style="6" customWidth="1"/>
    <col min="42" max="42" width="25.625" style="6" customWidth="1"/>
    <col min="43" max="43" width="25.00390625" style="6" customWidth="1"/>
    <col min="44" max="45" width="26.25390625" style="6" customWidth="1"/>
    <col min="46" max="46" width="25.625" style="93" customWidth="1"/>
    <col min="47" max="48" width="23.875" style="6" customWidth="1"/>
    <col min="49" max="49" width="26.125" style="6" customWidth="1"/>
    <col min="50" max="50" width="23.875" style="6" customWidth="1"/>
    <col min="51" max="52" width="25.375" style="6" customWidth="1"/>
    <col min="53" max="65" width="9.125" style="4" customWidth="1"/>
    <col min="66" max="16384" width="9.125" style="5" customWidth="1"/>
  </cols>
  <sheetData>
    <row r="1" spans="1:52" ht="36" customHeight="1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1"/>
      <c r="AR1" s="1"/>
      <c r="AS1" s="1"/>
      <c r="AT1" s="2"/>
      <c r="AU1" s="3"/>
      <c r="AV1" s="3"/>
      <c r="AW1" s="3"/>
      <c r="AX1" s="3"/>
      <c r="AY1" s="3"/>
      <c r="AZ1" s="3"/>
    </row>
    <row r="2" spans="1:52" ht="30" customHeight="1">
      <c r="A2" s="215" t="s">
        <v>50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1"/>
      <c r="AR2" s="1"/>
      <c r="AS2" s="1"/>
      <c r="AT2" s="2"/>
      <c r="AU2" s="3"/>
      <c r="AV2" s="3"/>
      <c r="AW2" s="3"/>
      <c r="AX2" s="3"/>
      <c r="AY2" s="3"/>
      <c r="AZ2" s="3"/>
    </row>
    <row r="3" spans="1:46" ht="11.25" customHeight="1" thickBot="1">
      <c r="A3" s="1"/>
      <c r="B3" s="1"/>
      <c r="D3" s="3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2"/>
    </row>
    <row r="4" spans="1:65" s="8" customFormat="1" ht="30.75" customHeight="1">
      <c r="A4" s="216"/>
      <c r="B4" s="218" t="s">
        <v>7</v>
      </c>
      <c r="C4" s="218"/>
      <c r="D4" s="209" t="s">
        <v>30</v>
      </c>
      <c r="E4" s="210"/>
      <c r="F4" s="210"/>
      <c r="G4" s="210"/>
      <c r="H4" s="210"/>
      <c r="I4" s="220"/>
      <c r="J4" s="111"/>
      <c r="K4" s="209" t="s">
        <v>11</v>
      </c>
      <c r="L4" s="210"/>
      <c r="M4" s="210"/>
      <c r="N4" s="210"/>
      <c r="O4" s="210"/>
      <c r="P4" s="220"/>
      <c r="Q4" s="111"/>
      <c r="R4" s="209" t="s">
        <v>31</v>
      </c>
      <c r="S4" s="210"/>
      <c r="T4" s="210"/>
      <c r="U4" s="210"/>
      <c r="V4" s="210"/>
      <c r="W4" s="220"/>
      <c r="X4" s="111"/>
      <c r="Y4" s="209" t="s">
        <v>8</v>
      </c>
      <c r="Z4" s="210"/>
      <c r="AA4" s="210"/>
      <c r="AB4" s="210"/>
      <c r="AC4" s="210"/>
      <c r="AD4" s="210"/>
      <c r="AE4" s="220"/>
      <c r="AF4" s="221" t="s">
        <v>10</v>
      </c>
      <c r="AG4" s="222"/>
      <c r="AH4" s="222"/>
      <c r="AI4" s="222"/>
      <c r="AJ4" s="222"/>
      <c r="AK4" s="222"/>
      <c r="AL4" s="223"/>
      <c r="AM4" s="209" t="s">
        <v>32</v>
      </c>
      <c r="AN4" s="210"/>
      <c r="AO4" s="210"/>
      <c r="AP4" s="210"/>
      <c r="AQ4" s="210"/>
      <c r="AR4" s="210"/>
      <c r="AS4" s="210"/>
      <c r="AT4" s="211" t="s">
        <v>33</v>
      </c>
      <c r="AU4" s="210"/>
      <c r="AV4" s="210"/>
      <c r="AW4" s="210"/>
      <c r="AX4" s="210"/>
      <c r="AY4" s="210"/>
      <c r="AZ4" s="212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52" ht="50.25" customHeight="1">
      <c r="A5" s="217"/>
      <c r="B5" s="219"/>
      <c r="C5" s="219"/>
      <c r="D5" s="11" t="s">
        <v>6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12" t="s">
        <v>36</v>
      </c>
      <c r="K5" s="11" t="s">
        <v>6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36</v>
      </c>
      <c r="R5" s="11" t="s">
        <v>6</v>
      </c>
      <c r="S5" s="12" t="s">
        <v>12</v>
      </c>
      <c r="T5" s="12" t="s">
        <v>13</v>
      </c>
      <c r="U5" s="12" t="s">
        <v>14</v>
      </c>
      <c r="V5" s="12" t="s">
        <v>15</v>
      </c>
      <c r="W5" s="12" t="s">
        <v>16</v>
      </c>
      <c r="X5" s="12" t="s">
        <v>36</v>
      </c>
      <c r="Y5" s="11" t="s">
        <v>6</v>
      </c>
      <c r="Z5" s="12" t="s">
        <v>12</v>
      </c>
      <c r="AA5" s="12" t="s">
        <v>13</v>
      </c>
      <c r="AB5" s="12" t="s">
        <v>14</v>
      </c>
      <c r="AC5" s="12" t="s">
        <v>15</v>
      </c>
      <c r="AD5" s="12" t="s">
        <v>16</v>
      </c>
      <c r="AE5" s="12" t="s">
        <v>36</v>
      </c>
      <c r="AF5" s="11" t="s">
        <v>6</v>
      </c>
      <c r="AG5" s="12" t="s">
        <v>12</v>
      </c>
      <c r="AH5" s="12" t="s">
        <v>13</v>
      </c>
      <c r="AI5" s="12" t="s">
        <v>14</v>
      </c>
      <c r="AJ5" s="12" t="s">
        <v>15</v>
      </c>
      <c r="AK5" s="12" t="s">
        <v>16</v>
      </c>
      <c r="AL5" s="12" t="s">
        <v>36</v>
      </c>
      <c r="AM5" s="14" t="s">
        <v>6</v>
      </c>
      <c r="AN5" s="12" t="s">
        <v>12</v>
      </c>
      <c r="AO5" s="12" t="s">
        <v>13</v>
      </c>
      <c r="AP5" s="12" t="s">
        <v>14</v>
      </c>
      <c r="AQ5" s="12" t="s">
        <v>15</v>
      </c>
      <c r="AR5" s="12" t="s">
        <v>16</v>
      </c>
      <c r="AS5" s="112" t="s">
        <v>36</v>
      </c>
      <c r="AT5" s="114" t="s">
        <v>6</v>
      </c>
      <c r="AU5" s="16" t="s">
        <v>12</v>
      </c>
      <c r="AV5" s="16" t="s">
        <v>13</v>
      </c>
      <c r="AW5" s="16" t="s">
        <v>14</v>
      </c>
      <c r="AX5" s="16" t="s">
        <v>15</v>
      </c>
      <c r="AY5" s="16" t="s">
        <v>16</v>
      </c>
      <c r="AZ5" s="110" t="s">
        <v>36</v>
      </c>
    </row>
    <row r="6" spans="1:65" s="22" customFormat="1" ht="25.5" customHeight="1" thickBot="1">
      <c r="A6" s="17"/>
      <c r="B6" s="18">
        <v>2</v>
      </c>
      <c r="C6" s="18"/>
      <c r="D6" s="19">
        <v>3</v>
      </c>
      <c r="E6" s="18"/>
      <c r="F6" s="18"/>
      <c r="G6" s="18"/>
      <c r="H6" s="18"/>
      <c r="I6" s="18"/>
      <c r="J6" s="18"/>
      <c r="K6" s="19">
        <v>4</v>
      </c>
      <c r="L6" s="20"/>
      <c r="M6" s="20"/>
      <c r="N6" s="20"/>
      <c r="O6" s="20"/>
      <c r="P6" s="20"/>
      <c r="Q6" s="20"/>
      <c r="R6" s="19">
        <v>5</v>
      </c>
      <c r="S6" s="20"/>
      <c r="T6" s="20"/>
      <c r="U6" s="20"/>
      <c r="V6" s="20"/>
      <c r="W6" s="20"/>
      <c r="X6" s="20"/>
      <c r="Y6" s="19">
        <v>6</v>
      </c>
      <c r="Z6" s="18"/>
      <c r="AA6" s="18"/>
      <c r="AB6" s="18"/>
      <c r="AC6" s="18"/>
      <c r="AD6" s="18"/>
      <c r="AE6" s="18"/>
      <c r="AF6" s="19">
        <v>7</v>
      </c>
      <c r="AG6" s="20"/>
      <c r="AH6" s="20"/>
      <c r="AI6" s="20"/>
      <c r="AJ6" s="20"/>
      <c r="AK6" s="20"/>
      <c r="AL6" s="20"/>
      <c r="AM6" s="19">
        <v>8</v>
      </c>
      <c r="AN6" s="20"/>
      <c r="AO6" s="20"/>
      <c r="AP6" s="20"/>
      <c r="AQ6" s="20"/>
      <c r="AR6" s="20"/>
      <c r="AS6" s="113"/>
      <c r="AT6" s="115">
        <v>9</v>
      </c>
      <c r="AU6" s="116"/>
      <c r="AV6" s="116"/>
      <c r="AW6" s="116"/>
      <c r="AX6" s="116"/>
      <c r="AY6" s="116"/>
      <c r="AZ6" s="117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</row>
    <row r="7" spans="1:65" s="29" customFormat="1" ht="43.5" customHeight="1" thickBot="1">
      <c r="A7" s="23">
        <v>1</v>
      </c>
      <c r="B7" s="24" t="s">
        <v>2</v>
      </c>
      <c r="C7" s="24" t="s">
        <v>4</v>
      </c>
      <c r="D7" s="25">
        <f aca="true" t="shared" si="0" ref="D7:J7">SUM(D8:D18)</f>
        <v>4.314775676826769</v>
      </c>
      <c r="E7" s="25">
        <f t="shared" si="0"/>
        <v>0</v>
      </c>
      <c r="F7" s="25">
        <f t="shared" si="0"/>
        <v>0</v>
      </c>
      <c r="G7" s="25">
        <f t="shared" si="0"/>
        <v>4.314775676826769</v>
      </c>
      <c r="H7" s="25">
        <f t="shared" si="0"/>
        <v>0</v>
      </c>
      <c r="I7" s="25">
        <f t="shared" si="0"/>
        <v>0</v>
      </c>
      <c r="J7" s="25">
        <f t="shared" si="0"/>
        <v>0</v>
      </c>
      <c r="K7" s="27">
        <f aca="true" t="shared" si="1" ref="K7:P7">R7/D7</f>
        <v>1244.4100000000003</v>
      </c>
      <c r="L7" s="27" t="e">
        <f t="shared" si="1"/>
        <v>#DIV/0!</v>
      </c>
      <c r="M7" s="27" t="e">
        <f t="shared" si="1"/>
        <v>#DIV/0!</v>
      </c>
      <c r="N7" s="27">
        <f t="shared" si="1"/>
        <v>1244.4100000000003</v>
      </c>
      <c r="O7" s="27" t="e">
        <f t="shared" si="1"/>
        <v>#DIV/0!</v>
      </c>
      <c r="P7" s="27" t="e">
        <f t="shared" si="1"/>
        <v>#DIV/0!</v>
      </c>
      <c r="Q7" s="27" t="e">
        <f>Y7/J7</f>
        <v>#DIV/0!</v>
      </c>
      <c r="R7" s="27">
        <f aca="true" t="shared" si="2" ref="R7:AE7">SUM(R8:R18)</f>
        <v>5369.35</v>
      </c>
      <c r="S7" s="27">
        <f t="shared" si="2"/>
        <v>0</v>
      </c>
      <c r="T7" s="27">
        <f t="shared" si="2"/>
        <v>0</v>
      </c>
      <c r="U7" s="27">
        <f t="shared" si="2"/>
        <v>5369.35</v>
      </c>
      <c r="V7" s="27">
        <f t="shared" si="2"/>
        <v>0</v>
      </c>
      <c r="W7" s="27">
        <f t="shared" si="2"/>
        <v>0</v>
      </c>
      <c r="X7" s="27">
        <f t="shared" si="2"/>
        <v>0</v>
      </c>
      <c r="Y7" s="59">
        <f t="shared" si="2"/>
        <v>-13.361030528523557</v>
      </c>
      <c r="Z7" s="59">
        <f t="shared" si="2"/>
        <v>0</v>
      </c>
      <c r="AA7" s="59">
        <f t="shared" si="2"/>
        <v>-21.91781647527744</v>
      </c>
      <c r="AB7" s="59">
        <f t="shared" si="2"/>
        <v>4.314775676826769</v>
      </c>
      <c r="AC7" s="59">
        <f t="shared" si="2"/>
        <v>0</v>
      </c>
      <c r="AD7" s="59">
        <f t="shared" si="2"/>
        <v>4.242010269927114</v>
      </c>
      <c r="AE7" s="59">
        <f t="shared" si="2"/>
        <v>0</v>
      </c>
      <c r="AF7" s="28">
        <f>AM7/Y7</f>
        <v>1244.4099999999999</v>
      </c>
      <c r="AG7" s="28">
        <f>AG12</f>
        <v>1244.41</v>
      </c>
      <c r="AH7" s="28">
        <f>AH12</f>
        <v>1244.41</v>
      </c>
      <c r="AI7" s="28">
        <f>AI12</f>
        <v>1244.41</v>
      </c>
      <c r="AJ7" s="28">
        <f>AJ12</f>
        <v>1244.41</v>
      </c>
      <c r="AK7" s="27">
        <f>AK12</f>
        <v>1244.41</v>
      </c>
      <c r="AL7" s="27">
        <f>AL17</f>
        <v>1122.56</v>
      </c>
      <c r="AM7" s="27">
        <f aca="true" t="shared" si="3" ref="AM7:AZ7">SUM(AM8:AM18)</f>
        <v>-16626.6</v>
      </c>
      <c r="AN7" s="27">
        <f t="shared" si="3"/>
        <v>0</v>
      </c>
      <c r="AO7" s="27">
        <f t="shared" si="3"/>
        <v>-27274.75</v>
      </c>
      <c r="AP7" s="27">
        <f t="shared" si="3"/>
        <v>5369.35</v>
      </c>
      <c r="AQ7" s="27">
        <f t="shared" si="3"/>
        <v>0</v>
      </c>
      <c r="AR7" s="27">
        <f t="shared" si="3"/>
        <v>5278.8</v>
      </c>
      <c r="AS7" s="27">
        <f t="shared" si="3"/>
        <v>0</v>
      </c>
      <c r="AT7" s="118">
        <f t="shared" si="3"/>
        <v>0</v>
      </c>
      <c r="AU7" s="27">
        <f t="shared" si="3"/>
        <v>0</v>
      </c>
      <c r="AV7" s="27">
        <f t="shared" si="3"/>
        <v>0</v>
      </c>
      <c r="AW7" s="27">
        <f t="shared" si="3"/>
        <v>0</v>
      </c>
      <c r="AX7" s="27">
        <f t="shared" si="3"/>
        <v>0</v>
      </c>
      <c r="AY7" s="27">
        <f t="shared" si="3"/>
        <v>0</v>
      </c>
      <c r="AZ7" s="27">
        <f t="shared" si="3"/>
        <v>0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</row>
    <row r="8" spans="1:52" ht="53.25" customHeight="1">
      <c r="A8" s="38"/>
      <c r="B8" s="47" t="s">
        <v>20</v>
      </c>
      <c r="C8" s="48"/>
      <c r="D8" s="49">
        <f aca="true" t="shared" si="4" ref="D8:D16">SUM(E8:I8)</f>
        <v>0</v>
      </c>
      <c r="E8" s="45">
        <f>S8/L8</f>
        <v>0</v>
      </c>
      <c r="F8" s="45"/>
      <c r="G8" s="45"/>
      <c r="H8" s="45"/>
      <c r="I8" s="45"/>
      <c r="J8" s="45"/>
      <c r="K8" s="14" t="e">
        <f aca="true" t="shared" si="5" ref="K8:K45">R8/D8</f>
        <v>#DIV/0!</v>
      </c>
      <c r="L8" s="13">
        <v>4349.75</v>
      </c>
      <c r="M8" s="37"/>
      <c r="N8" s="37"/>
      <c r="O8" s="37"/>
      <c r="P8" s="50"/>
      <c r="Q8" s="13"/>
      <c r="R8" s="15">
        <f aca="true" t="shared" si="6" ref="R8:R16">SUM(S8:W8)</f>
        <v>0</v>
      </c>
      <c r="S8" s="50"/>
      <c r="T8" s="50"/>
      <c r="U8" s="50"/>
      <c r="V8" s="50"/>
      <c r="W8" s="50"/>
      <c r="X8" s="13"/>
      <c r="Y8" s="67">
        <f aca="true" t="shared" si="7" ref="Y8:Y16">SUM(Z8:AD8)</f>
        <v>0</v>
      </c>
      <c r="Z8" s="97">
        <f>AN8/AG8</f>
        <v>0</v>
      </c>
      <c r="AA8" s="97"/>
      <c r="AB8" s="97"/>
      <c r="AC8" s="97"/>
      <c r="AD8" s="97"/>
      <c r="AE8" s="97"/>
      <c r="AF8" s="14">
        <f>AG8</f>
        <v>1244.41</v>
      </c>
      <c r="AG8" s="13">
        <v>1244.41</v>
      </c>
      <c r="AH8" s="13"/>
      <c r="AI8" s="13"/>
      <c r="AJ8" s="13"/>
      <c r="AK8" s="13"/>
      <c r="AL8" s="37"/>
      <c r="AM8" s="15">
        <f aca="true" t="shared" si="8" ref="AM8:AM16">SUM(AN8:AR8)</f>
        <v>0</v>
      </c>
      <c r="AN8" s="50"/>
      <c r="AO8" s="50"/>
      <c r="AP8" s="50"/>
      <c r="AQ8" s="50"/>
      <c r="AR8" s="50"/>
      <c r="AS8" s="13"/>
      <c r="AT8" s="15">
        <f aca="true" t="shared" si="9" ref="AT8:AT16">SUM(AU8:AY8)</f>
        <v>0</v>
      </c>
      <c r="AU8" s="37">
        <f>(L8-AG8)*E8</f>
        <v>0</v>
      </c>
      <c r="AV8" s="37"/>
      <c r="AW8" s="37"/>
      <c r="AX8" s="37"/>
      <c r="AY8" s="37"/>
      <c r="AZ8" s="13"/>
    </row>
    <row r="9" spans="1:52" ht="53.25" customHeight="1">
      <c r="A9" s="38"/>
      <c r="B9" s="47" t="s">
        <v>21</v>
      </c>
      <c r="C9" s="48"/>
      <c r="D9" s="51">
        <f t="shared" si="4"/>
        <v>0</v>
      </c>
      <c r="E9" s="45"/>
      <c r="F9" s="45"/>
      <c r="G9" s="52">
        <f>U9/N9</f>
        <v>0</v>
      </c>
      <c r="H9" s="45"/>
      <c r="I9" s="45"/>
      <c r="J9" s="45"/>
      <c r="K9" s="14" t="e">
        <f t="shared" si="5"/>
        <v>#DIV/0!</v>
      </c>
      <c r="L9" s="13"/>
      <c r="M9" s="37"/>
      <c r="N9" s="37">
        <v>4276.62</v>
      </c>
      <c r="O9" s="53"/>
      <c r="P9" s="50"/>
      <c r="Q9" s="13"/>
      <c r="R9" s="15">
        <f t="shared" si="6"/>
        <v>0</v>
      </c>
      <c r="S9" s="50"/>
      <c r="T9" s="50"/>
      <c r="U9" s="50"/>
      <c r="V9" s="50"/>
      <c r="W9" s="50"/>
      <c r="X9" s="13"/>
      <c r="Y9" s="67">
        <f t="shared" si="7"/>
        <v>0</v>
      </c>
      <c r="Z9" s="97"/>
      <c r="AA9" s="97"/>
      <c r="AB9" s="97">
        <f>AP9/AI9</f>
        <v>0</v>
      </c>
      <c r="AC9" s="97"/>
      <c r="AD9" s="97"/>
      <c r="AE9" s="97"/>
      <c r="AF9" s="14">
        <f>AI9</f>
        <v>1244.41</v>
      </c>
      <c r="AG9" s="13"/>
      <c r="AH9" s="13"/>
      <c r="AI9" s="13">
        <v>1244.41</v>
      </c>
      <c r="AJ9" s="13"/>
      <c r="AK9" s="13"/>
      <c r="AL9" s="37"/>
      <c r="AM9" s="15">
        <f t="shared" si="8"/>
        <v>0</v>
      </c>
      <c r="AN9" s="50"/>
      <c r="AO9" s="50"/>
      <c r="AP9" s="50"/>
      <c r="AQ9" s="50"/>
      <c r="AR9" s="50"/>
      <c r="AS9" s="13"/>
      <c r="AT9" s="15">
        <f t="shared" si="9"/>
        <v>0</v>
      </c>
      <c r="AU9" s="37"/>
      <c r="AV9" s="37"/>
      <c r="AW9" s="37">
        <f>(N9-AI9)*G9</f>
        <v>0</v>
      </c>
      <c r="AX9" s="37"/>
      <c r="AY9" s="37"/>
      <c r="AZ9" s="13"/>
    </row>
    <row r="10" spans="1:52" ht="54.75" customHeight="1">
      <c r="A10" s="40"/>
      <c r="B10" s="54" t="s">
        <v>43</v>
      </c>
      <c r="C10" s="40"/>
      <c r="D10" s="49">
        <f t="shared" si="4"/>
        <v>0</v>
      </c>
      <c r="E10" s="45"/>
      <c r="F10" s="45">
        <f>T10/M10</f>
        <v>0</v>
      </c>
      <c r="G10" s="45"/>
      <c r="H10" s="45"/>
      <c r="I10" s="45"/>
      <c r="J10" s="45"/>
      <c r="K10" s="14" t="e">
        <f t="shared" si="5"/>
        <v>#DIV/0!</v>
      </c>
      <c r="L10" s="13"/>
      <c r="M10" s="37">
        <v>1721.61</v>
      </c>
      <c r="N10" s="37"/>
      <c r="O10" s="37"/>
      <c r="P10" s="13"/>
      <c r="Q10" s="37"/>
      <c r="R10" s="15">
        <f t="shared" si="6"/>
        <v>0</v>
      </c>
      <c r="S10" s="13"/>
      <c r="T10" s="13"/>
      <c r="U10" s="13"/>
      <c r="V10" s="13"/>
      <c r="W10" s="13"/>
      <c r="X10" s="37"/>
      <c r="Y10" s="67">
        <f t="shared" si="7"/>
        <v>0</v>
      </c>
      <c r="Z10" s="97"/>
      <c r="AA10" s="97">
        <f>AO10/AH10</f>
        <v>0</v>
      </c>
      <c r="AB10" s="97"/>
      <c r="AC10" s="97"/>
      <c r="AD10" s="97"/>
      <c r="AE10" s="97"/>
      <c r="AF10" s="14">
        <f>AH10</f>
        <v>1244.41</v>
      </c>
      <c r="AG10" s="13"/>
      <c r="AH10" s="13">
        <v>1244.41</v>
      </c>
      <c r="AI10" s="13"/>
      <c r="AJ10" s="13"/>
      <c r="AK10" s="13"/>
      <c r="AL10" s="37"/>
      <c r="AM10" s="15">
        <f t="shared" si="8"/>
        <v>0</v>
      </c>
      <c r="AN10" s="13"/>
      <c r="AO10" s="13"/>
      <c r="AP10" s="13"/>
      <c r="AQ10" s="13"/>
      <c r="AR10" s="13"/>
      <c r="AS10" s="13"/>
      <c r="AT10" s="15">
        <f t="shared" si="9"/>
        <v>0</v>
      </c>
      <c r="AU10" s="37"/>
      <c r="AV10" s="37">
        <f>(M10-AH10)*F10</f>
        <v>0</v>
      </c>
      <c r="AW10" s="37"/>
      <c r="AX10" s="37"/>
      <c r="AY10" s="37"/>
      <c r="AZ10" s="13"/>
    </row>
    <row r="11" spans="1:52" ht="42" customHeight="1">
      <c r="A11" s="40"/>
      <c r="B11" s="54" t="s">
        <v>22</v>
      </c>
      <c r="C11" s="40"/>
      <c r="D11" s="41">
        <f t="shared" si="4"/>
        <v>0</v>
      </c>
      <c r="E11" s="42"/>
      <c r="F11" s="42"/>
      <c r="G11" s="42">
        <f>U11/N11</f>
        <v>0</v>
      </c>
      <c r="H11" s="42"/>
      <c r="I11" s="42"/>
      <c r="J11" s="42"/>
      <c r="K11" s="14" t="e">
        <f t="shared" si="5"/>
        <v>#DIV/0!</v>
      </c>
      <c r="L11" s="13"/>
      <c r="M11" s="13"/>
      <c r="N11" s="13">
        <v>1524.94</v>
      </c>
      <c r="O11" s="13"/>
      <c r="P11" s="13"/>
      <c r="Q11" s="13"/>
      <c r="R11" s="14">
        <f t="shared" si="6"/>
        <v>0</v>
      </c>
      <c r="S11" s="13"/>
      <c r="T11" s="13"/>
      <c r="U11" s="13"/>
      <c r="V11" s="13"/>
      <c r="W11" s="13"/>
      <c r="X11" s="13"/>
      <c r="Y11" s="64">
        <f t="shared" si="7"/>
        <v>0</v>
      </c>
      <c r="Z11" s="65"/>
      <c r="AA11" s="65"/>
      <c r="AB11" s="65">
        <f>AP11/AI11</f>
        <v>0</v>
      </c>
      <c r="AC11" s="65"/>
      <c r="AD11" s="65"/>
      <c r="AE11" s="65"/>
      <c r="AF11" s="14">
        <f>AI11</f>
        <v>1244.41</v>
      </c>
      <c r="AG11" s="13"/>
      <c r="AH11" s="13"/>
      <c r="AI11" s="13">
        <v>1244.41</v>
      </c>
      <c r="AJ11" s="13"/>
      <c r="AK11" s="13"/>
      <c r="AL11" s="13"/>
      <c r="AM11" s="14">
        <f t="shared" si="8"/>
        <v>0</v>
      </c>
      <c r="AN11" s="13"/>
      <c r="AO11" s="13"/>
      <c r="AP11" s="13"/>
      <c r="AQ11" s="13"/>
      <c r="AR11" s="13"/>
      <c r="AS11" s="13"/>
      <c r="AT11" s="14">
        <f t="shared" si="9"/>
        <v>0</v>
      </c>
      <c r="AU11" s="37"/>
      <c r="AV11" s="37"/>
      <c r="AW11" s="37">
        <f>(N11-AI11)*G11</f>
        <v>0</v>
      </c>
      <c r="AX11" s="37"/>
      <c r="AY11" s="37"/>
      <c r="AZ11" s="13"/>
    </row>
    <row r="12" spans="1:52" ht="33" customHeight="1">
      <c r="A12" s="30"/>
      <c r="B12" s="31" t="s">
        <v>17</v>
      </c>
      <c r="C12" s="32"/>
      <c r="D12" s="33">
        <f t="shared" si="4"/>
        <v>0</v>
      </c>
      <c r="E12" s="34">
        <f>S12/L12</f>
        <v>0</v>
      </c>
      <c r="F12" s="34">
        <f>T12/M12</f>
        <v>0</v>
      </c>
      <c r="G12" s="34">
        <f>U12/N12</f>
        <v>0</v>
      </c>
      <c r="H12" s="34">
        <f>V12/O12</f>
        <v>0</v>
      </c>
      <c r="I12" s="34">
        <f>W12/P12</f>
        <v>0</v>
      </c>
      <c r="J12" s="34"/>
      <c r="K12" s="35" t="e">
        <f t="shared" si="5"/>
        <v>#DIV/0!</v>
      </c>
      <c r="L12" s="36">
        <v>2682.32</v>
      </c>
      <c r="M12" s="36">
        <f>L12</f>
        <v>2682.32</v>
      </c>
      <c r="N12" s="36">
        <f>L12</f>
        <v>2682.32</v>
      </c>
      <c r="O12" s="36">
        <f>L12</f>
        <v>2682.32</v>
      </c>
      <c r="P12" s="36">
        <f>L12</f>
        <v>2682.32</v>
      </c>
      <c r="Q12" s="36"/>
      <c r="R12" s="35">
        <f t="shared" si="6"/>
        <v>0</v>
      </c>
      <c r="S12" s="36"/>
      <c r="T12" s="36"/>
      <c r="U12" s="36"/>
      <c r="V12" s="36"/>
      <c r="W12" s="36"/>
      <c r="X12" s="36"/>
      <c r="Y12" s="62">
        <f t="shared" si="7"/>
        <v>-17.675806205350327</v>
      </c>
      <c r="Z12" s="34">
        <f>AN12/AG12</f>
        <v>0</v>
      </c>
      <c r="AA12" s="34">
        <f>AO12/AH12</f>
        <v>-21.91781647527744</v>
      </c>
      <c r="AB12" s="34">
        <f>AP12/AI12</f>
        <v>0</v>
      </c>
      <c r="AC12" s="34">
        <f>AQ12/AJ12</f>
        <v>0</v>
      </c>
      <c r="AD12" s="34">
        <f>AR12/AK12</f>
        <v>4.242010269927114</v>
      </c>
      <c r="AE12" s="34"/>
      <c r="AF12" s="15">
        <f>AG12</f>
        <v>1244.41</v>
      </c>
      <c r="AG12" s="37">
        <v>1244.41</v>
      </c>
      <c r="AH12" s="37">
        <v>1244.41</v>
      </c>
      <c r="AI12" s="37">
        <v>1244.41</v>
      </c>
      <c r="AJ12" s="37">
        <v>1244.41</v>
      </c>
      <c r="AK12" s="37">
        <v>1244.41</v>
      </c>
      <c r="AL12" s="36"/>
      <c r="AM12" s="35">
        <f t="shared" si="8"/>
        <v>-21995.95</v>
      </c>
      <c r="AN12" s="36"/>
      <c r="AO12" s="36">
        <v>-27274.75</v>
      </c>
      <c r="AP12" s="36"/>
      <c r="AQ12" s="36"/>
      <c r="AR12" s="36">
        <v>5278.8</v>
      </c>
      <c r="AS12" s="36"/>
      <c r="AT12" s="35">
        <f t="shared" si="9"/>
        <v>0</v>
      </c>
      <c r="AU12" s="37">
        <f>(L12-AG12)*E12</f>
        <v>0</v>
      </c>
      <c r="AV12" s="37">
        <f>(M12-AH12)*F12</f>
        <v>0</v>
      </c>
      <c r="AW12" s="37">
        <f>(N12-AI12)*G12</f>
        <v>0</v>
      </c>
      <c r="AX12" s="37">
        <f>(O12-AJ12)*H12</f>
        <v>0</v>
      </c>
      <c r="AY12" s="37">
        <f>(P12-AK12)*I12</f>
        <v>0</v>
      </c>
      <c r="AZ12" s="37"/>
    </row>
    <row r="13" spans="1:52" ht="63.75" customHeight="1">
      <c r="A13" s="38"/>
      <c r="B13" s="39" t="s">
        <v>42</v>
      </c>
      <c r="C13" s="40"/>
      <c r="D13" s="41">
        <f t="shared" si="4"/>
        <v>0</v>
      </c>
      <c r="E13" s="42"/>
      <c r="F13" s="42"/>
      <c r="G13" s="42"/>
      <c r="H13" s="42"/>
      <c r="I13" s="42">
        <f>W13/P13</f>
        <v>0</v>
      </c>
      <c r="J13" s="42"/>
      <c r="K13" s="14" t="e">
        <f t="shared" si="5"/>
        <v>#DIV/0!</v>
      </c>
      <c r="L13" s="13"/>
      <c r="M13" s="13"/>
      <c r="N13" s="13"/>
      <c r="O13" s="13"/>
      <c r="P13" s="13">
        <v>2630.16</v>
      </c>
      <c r="Q13" s="13"/>
      <c r="R13" s="14">
        <f t="shared" si="6"/>
        <v>0</v>
      </c>
      <c r="S13" s="13"/>
      <c r="T13" s="13"/>
      <c r="U13" s="13"/>
      <c r="V13" s="13"/>
      <c r="W13" s="13"/>
      <c r="X13" s="13"/>
      <c r="Y13" s="64">
        <f t="shared" si="7"/>
        <v>0</v>
      </c>
      <c r="Z13" s="65"/>
      <c r="AA13" s="65"/>
      <c r="AB13" s="65"/>
      <c r="AC13" s="65"/>
      <c r="AD13" s="65">
        <f>AR13/AK13</f>
        <v>0</v>
      </c>
      <c r="AE13" s="65"/>
      <c r="AF13" s="14">
        <f>AK13</f>
        <v>1244.41</v>
      </c>
      <c r="AG13" s="13"/>
      <c r="AH13" s="13"/>
      <c r="AI13" s="13"/>
      <c r="AJ13" s="13"/>
      <c r="AK13" s="13">
        <v>1244.41</v>
      </c>
      <c r="AL13" s="13"/>
      <c r="AM13" s="14">
        <f t="shared" si="8"/>
        <v>0</v>
      </c>
      <c r="AN13" s="13"/>
      <c r="AO13" s="13"/>
      <c r="AP13" s="13"/>
      <c r="AQ13" s="13"/>
      <c r="AR13" s="13"/>
      <c r="AS13" s="13"/>
      <c r="AT13" s="14">
        <f t="shared" si="9"/>
        <v>0</v>
      </c>
      <c r="AU13" s="37"/>
      <c r="AV13" s="37"/>
      <c r="AW13" s="37"/>
      <c r="AX13" s="37"/>
      <c r="AY13" s="37">
        <f>(P13-AK13)*I13</f>
        <v>0</v>
      </c>
      <c r="AZ13" s="13"/>
    </row>
    <row r="14" spans="1:52" ht="37.5" customHeight="1">
      <c r="A14" s="38"/>
      <c r="B14" s="54" t="s">
        <v>23</v>
      </c>
      <c r="C14" s="40"/>
      <c r="D14" s="51">
        <f t="shared" si="4"/>
        <v>0</v>
      </c>
      <c r="E14" s="45"/>
      <c r="F14" s="52">
        <f>T14/M14</f>
        <v>0</v>
      </c>
      <c r="G14" s="45"/>
      <c r="H14" s="45"/>
      <c r="I14" s="45"/>
      <c r="J14" s="45"/>
      <c r="K14" s="14" t="e">
        <f t="shared" si="5"/>
        <v>#DIV/0!</v>
      </c>
      <c r="L14" s="13"/>
      <c r="M14" s="37">
        <v>1664.35</v>
      </c>
      <c r="N14" s="37"/>
      <c r="O14" s="37"/>
      <c r="P14" s="13"/>
      <c r="Q14" s="37"/>
      <c r="R14" s="15">
        <f t="shared" si="6"/>
        <v>0</v>
      </c>
      <c r="S14" s="13"/>
      <c r="T14" s="13"/>
      <c r="U14" s="13"/>
      <c r="V14" s="13"/>
      <c r="W14" s="13"/>
      <c r="X14" s="13"/>
      <c r="Y14" s="67">
        <f t="shared" si="7"/>
        <v>0</v>
      </c>
      <c r="Z14" s="97"/>
      <c r="AA14" s="97">
        <f>AO14/AH14</f>
        <v>0</v>
      </c>
      <c r="AB14" s="97"/>
      <c r="AC14" s="97"/>
      <c r="AD14" s="97"/>
      <c r="AE14" s="97"/>
      <c r="AF14" s="14">
        <f>AH14</f>
        <v>1244.41</v>
      </c>
      <c r="AG14" s="13"/>
      <c r="AH14" s="13">
        <v>1244.41</v>
      </c>
      <c r="AI14" s="13"/>
      <c r="AJ14" s="13"/>
      <c r="AK14" s="13"/>
      <c r="AL14" s="37"/>
      <c r="AM14" s="15">
        <f t="shared" si="8"/>
        <v>0</v>
      </c>
      <c r="AN14" s="13"/>
      <c r="AO14" s="13"/>
      <c r="AP14" s="13"/>
      <c r="AQ14" s="13"/>
      <c r="AR14" s="13"/>
      <c r="AS14" s="13"/>
      <c r="AT14" s="15">
        <f t="shared" si="9"/>
        <v>0</v>
      </c>
      <c r="AU14" s="37"/>
      <c r="AV14" s="37">
        <f>(M14-AH14)*F14</f>
        <v>0</v>
      </c>
      <c r="AW14" s="37"/>
      <c r="AX14" s="37"/>
      <c r="AY14" s="37"/>
      <c r="AZ14" s="13"/>
    </row>
    <row r="15" spans="1:52" ht="35.25" customHeight="1">
      <c r="A15" s="38"/>
      <c r="B15" s="39" t="s">
        <v>18</v>
      </c>
      <c r="C15" s="40"/>
      <c r="D15" s="75">
        <f t="shared" si="4"/>
        <v>4.314775676826769</v>
      </c>
      <c r="E15" s="42"/>
      <c r="F15" s="42"/>
      <c r="G15" s="76">
        <f>U15/N15</f>
        <v>4.314775676826769</v>
      </c>
      <c r="H15" s="42"/>
      <c r="I15" s="42"/>
      <c r="J15" s="42"/>
      <c r="K15" s="14">
        <f t="shared" si="5"/>
        <v>1244.4100000000003</v>
      </c>
      <c r="L15" s="13"/>
      <c r="M15" s="13"/>
      <c r="N15" s="13">
        <v>1244.41</v>
      </c>
      <c r="O15" s="13"/>
      <c r="P15" s="13"/>
      <c r="Q15" s="13"/>
      <c r="R15" s="14">
        <f t="shared" si="6"/>
        <v>5369.35</v>
      </c>
      <c r="S15" s="13"/>
      <c r="T15" s="13"/>
      <c r="U15" s="13">
        <v>5369.35</v>
      </c>
      <c r="V15" s="13"/>
      <c r="W15" s="13"/>
      <c r="X15" s="13"/>
      <c r="Y15" s="64">
        <f t="shared" si="7"/>
        <v>4.314775676826769</v>
      </c>
      <c r="Z15" s="65"/>
      <c r="AA15" s="65"/>
      <c r="AB15" s="65">
        <f>AP15/AI15</f>
        <v>4.314775676826769</v>
      </c>
      <c r="AC15" s="65"/>
      <c r="AD15" s="65"/>
      <c r="AE15" s="65"/>
      <c r="AF15" s="14">
        <f>AI15</f>
        <v>1244.41</v>
      </c>
      <c r="AG15" s="13"/>
      <c r="AH15" s="13"/>
      <c r="AI15" s="13">
        <v>1244.41</v>
      </c>
      <c r="AJ15" s="13"/>
      <c r="AK15" s="13"/>
      <c r="AL15" s="13"/>
      <c r="AM15" s="14">
        <f t="shared" si="8"/>
        <v>5369.35</v>
      </c>
      <c r="AN15" s="13"/>
      <c r="AO15" s="13"/>
      <c r="AP15" s="13">
        <v>5369.35</v>
      </c>
      <c r="AQ15" s="13"/>
      <c r="AR15" s="13"/>
      <c r="AS15" s="13"/>
      <c r="AT15" s="14">
        <f t="shared" si="9"/>
        <v>0</v>
      </c>
      <c r="AU15" s="37"/>
      <c r="AV15" s="37"/>
      <c r="AW15" s="37">
        <f>(N15-AI15)*G15</f>
        <v>0</v>
      </c>
      <c r="AX15" s="37"/>
      <c r="AY15" s="37"/>
      <c r="AZ15" s="13"/>
    </row>
    <row r="16" spans="1:52" ht="56.25" customHeight="1">
      <c r="A16" s="9"/>
      <c r="B16" s="43" t="s">
        <v>41</v>
      </c>
      <c r="C16" s="32"/>
      <c r="D16" s="44">
        <f t="shared" si="4"/>
        <v>0</v>
      </c>
      <c r="E16" s="45"/>
      <c r="F16" s="46">
        <f>T16/M16</f>
        <v>0</v>
      </c>
      <c r="G16" s="45"/>
      <c r="H16" s="45"/>
      <c r="I16" s="45"/>
      <c r="J16" s="45"/>
      <c r="K16" s="14" t="e">
        <f t="shared" si="5"/>
        <v>#DIV/0!</v>
      </c>
      <c r="L16" s="36"/>
      <c r="M16" s="37">
        <v>1602.62</v>
      </c>
      <c r="N16" s="37"/>
      <c r="O16" s="37"/>
      <c r="P16" s="36"/>
      <c r="Q16" s="13"/>
      <c r="R16" s="15">
        <f t="shared" si="6"/>
        <v>0</v>
      </c>
      <c r="S16" s="36"/>
      <c r="T16" s="36"/>
      <c r="U16" s="36"/>
      <c r="V16" s="36"/>
      <c r="W16" s="36"/>
      <c r="X16" s="36"/>
      <c r="Y16" s="67">
        <f t="shared" si="7"/>
        <v>0</v>
      </c>
      <c r="Z16" s="97"/>
      <c r="AA16" s="97">
        <f>AO16/AH16</f>
        <v>0</v>
      </c>
      <c r="AB16" s="97"/>
      <c r="AC16" s="97"/>
      <c r="AD16" s="97"/>
      <c r="AE16" s="97"/>
      <c r="AF16" s="14">
        <f>AH16</f>
        <v>1244.41</v>
      </c>
      <c r="AG16" s="13"/>
      <c r="AH16" s="13">
        <v>1244.41</v>
      </c>
      <c r="AI16" s="13"/>
      <c r="AJ16" s="13"/>
      <c r="AK16" s="13"/>
      <c r="AL16" s="37"/>
      <c r="AM16" s="15">
        <f t="shared" si="8"/>
        <v>0</v>
      </c>
      <c r="AN16" s="36"/>
      <c r="AO16" s="36"/>
      <c r="AP16" s="36"/>
      <c r="AQ16" s="36"/>
      <c r="AR16" s="36"/>
      <c r="AS16" s="13"/>
      <c r="AT16" s="15">
        <f t="shared" si="9"/>
        <v>0</v>
      </c>
      <c r="AU16" s="37"/>
      <c r="AV16" s="37">
        <f>(M16-AH16)*F16</f>
        <v>0</v>
      </c>
      <c r="AW16" s="37"/>
      <c r="AX16" s="37"/>
      <c r="AY16" s="37"/>
      <c r="AZ16" s="13"/>
    </row>
    <row r="17" spans="1:52" ht="58.5" customHeight="1">
      <c r="A17" s="38">
        <v>36</v>
      </c>
      <c r="B17" s="39" t="s">
        <v>37</v>
      </c>
      <c r="C17" s="106"/>
      <c r="D17" s="75">
        <f>SUM(E17:J17)</f>
        <v>0</v>
      </c>
      <c r="E17" s="42"/>
      <c r="F17" s="42"/>
      <c r="G17" s="76"/>
      <c r="H17" s="42"/>
      <c r="I17" s="107"/>
      <c r="J17" s="76">
        <f>X17/Q17</f>
        <v>0</v>
      </c>
      <c r="K17" s="14" t="e">
        <f t="shared" si="5"/>
        <v>#DIV/0!</v>
      </c>
      <c r="L17" s="108"/>
      <c r="M17" s="13"/>
      <c r="N17" s="13"/>
      <c r="O17" s="13"/>
      <c r="P17" s="13"/>
      <c r="Q17" s="13">
        <v>1131.5</v>
      </c>
      <c r="R17" s="14">
        <f>SUM(S17:X17)</f>
        <v>0</v>
      </c>
      <c r="S17" s="13"/>
      <c r="T17" s="13"/>
      <c r="U17" s="13"/>
      <c r="V17" s="13"/>
      <c r="W17" s="13"/>
      <c r="X17" s="13"/>
      <c r="Y17" s="64">
        <f>AE17</f>
        <v>0</v>
      </c>
      <c r="Z17" s="65"/>
      <c r="AA17" s="65"/>
      <c r="AB17" s="65"/>
      <c r="AC17" s="65"/>
      <c r="AD17" s="65"/>
      <c r="AE17" s="65">
        <f>AS17/AL17</f>
        <v>0</v>
      </c>
      <c r="AF17" s="14">
        <f>AL17</f>
        <v>1122.56</v>
      </c>
      <c r="AG17" s="13"/>
      <c r="AH17" s="13"/>
      <c r="AI17" s="13"/>
      <c r="AJ17" s="13"/>
      <c r="AK17" s="109"/>
      <c r="AL17" s="109">
        <v>1122.56</v>
      </c>
      <c r="AM17" s="14">
        <f>AS17</f>
        <v>0</v>
      </c>
      <c r="AN17" s="13"/>
      <c r="AO17" s="13"/>
      <c r="AP17" s="13"/>
      <c r="AQ17" s="13"/>
      <c r="AR17" s="13"/>
      <c r="AS17" s="13"/>
      <c r="AT17" s="14">
        <f>SUM(AU17:AZ17)</f>
        <v>0</v>
      </c>
      <c r="AU17" s="13"/>
      <c r="AV17" s="13"/>
      <c r="AW17" s="13"/>
      <c r="AX17" s="13"/>
      <c r="AY17" s="13"/>
      <c r="AZ17" s="37">
        <f>(Q17-AL17)*J17</f>
        <v>0</v>
      </c>
    </row>
    <row r="18" spans="1:52" ht="88.5" customHeight="1" thickBot="1">
      <c r="A18" s="30"/>
      <c r="B18" s="31" t="s">
        <v>38</v>
      </c>
      <c r="D18" s="75">
        <f>SUM(E18:J18)</f>
        <v>0</v>
      </c>
      <c r="E18" s="56"/>
      <c r="F18" s="56"/>
      <c r="G18" s="102"/>
      <c r="H18" s="56"/>
      <c r="I18" s="103"/>
      <c r="J18" s="76">
        <f>X18/Q18</f>
        <v>0</v>
      </c>
      <c r="K18" s="14" t="e">
        <f t="shared" si="5"/>
        <v>#DIV/0!</v>
      </c>
      <c r="L18" s="104"/>
      <c r="M18" s="36"/>
      <c r="N18" s="36"/>
      <c r="O18" s="36"/>
      <c r="P18" s="36"/>
      <c r="Q18" s="36">
        <v>1488.64</v>
      </c>
      <c r="R18" s="14">
        <f>SUM(S18:X18)</f>
        <v>0</v>
      </c>
      <c r="S18" s="36"/>
      <c r="T18" s="36"/>
      <c r="U18" s="36"/>
      <c r="V18" s="36"/>
      <c r="W18" s="36"/>
      <c r="X18" s="36"/>
      <c r="Y18" s="62">
        <f>AE18</f>
        <v>0</v>
      </c>
      <c r="Z18" s="34"/>
      <c r="AA18" s="34"/>
      <c r="AB18" s="34"/>
      <c r="AC18" s="34"/>
      <c r="AD18" s="34"/>
      <c r="AE18" s="65">
        <f>AS18/AL18</f>
        <v>0</v>
      </c>
      <c r="AF18" s="35">
        <f>AL18</f>
        <v>1122.56</v>
      </c>
      <c r="AG18" s="36"/>
      <c r="AH18" s="36"/>
      <c r="AI18" s="36"/>
      <c r="AJ18" s="36"/>
      <c r="AK18" s="105"/>
      <c r="AL18" s="105">
        <v>1122.56</v>
      </c>
      <c r="AM18" s="35">
        <f>AS18</f>
        <v>0</v>
      </c>
      <c r="AN18" s="36"/>
      <c r="AO18" s="36"/>
      <c r="AP18" s="36"/>
      <c r="AQ18" s="36"/>
      <c r="AR18" s="36"/>
      <c r="AS18" s="36"/>
      <c r="AT18" s="57">
        <f>SUM(AU18:AZ18)</f>
        <v>0</v>
      </c>
      <c r="AU18" s="50"/>
      <c r="AV18" s="50"/>
      <c r="AW18" s="50"/>
      <c r="AX18" s="50"/>
      <c r="AY18" s="50"/>
      <c r="AZ18" s="37">
        <f>(Q18-AL18)*J18</f>
        <v>0</v>
      </c>
    </row>
    <row r="19" spans="1:65" s="29" customFormat="1" ht="43.5" customHeight="1" thickBot="1">
      <c r="A19" s="23">
        <v>2</v>
      </c>
      <c r="B19" s="24" t="s">
        <v>0</v>
      </c>
      <c r="C19" s="58" t="s">
        <v>5</v>
      </c>
      <c r="D19" s="26">
        <f aca="true" t="shared" si="10" ref="D19:J19">SUM(D20:D26)</f>
        <v>17837.299</v>
      </c>
      <c r="E19" s="59">
        <f t="shared" si="10"/>
        <v>715.2158</v>
      </c>
      <c r="F19" s="59">
        <f t="shared" si="10"/>
        <v>8203.8447</v>
      </c>
      <c r="G19" s="59">
        <f t="shared" si="10"/>
        <v>3994.2523</v>
      </c>
      <c r="H19" s="59">
        <f t="shared" si="10"/>
        <v>137.9255</v>
      </c>
      <c r="I19" s="59">
        <f t="shared" si="10"/>
        <v>4634.6607</v>
      </c>
      <c r="J19" s="59">
        <f t="shared" si="10"/>
        <v>151.4</v>
      </c>
      <c r="K19" s="27">
        <f t="shared" si="5"/>
        <v>146.65754775989348</v>
      </c>
      <c r="L19" s="61">
        <f aca="true" t="shared" si="11" ref="L19:Q19">S19/E19</f>
        <v>167.49344743222957</v>
      </c>
      <c r="M19" s="27">
        <f t="shared" si="11"/>
        <v>119.41627442069935</v>
      </c>
      <c r="N19" s="27">
        <f t="shared" si="11"/>
        <v>174.28741544443747</v>
      </c>
      <c r="O19" s="27">
        <f t="shared" si="11"/>
        <v>167.4935381782194</v>
      </c>
      <c r="P19" s="27">
        <f t="shared" si="11"/>
        <v>169.10774503945888</v>
      </c>
      <c r="Q19" s="27">
        <f t="shared" si="11"/>
        <v>89.1772787318362</v>
      </c>
      <c r="R19" s="27">
        <f aca="true" t="shared" si="12" ref="R19:AE19">SUM(R20:R26)</f>
        <v>2615974.53</v>
      </c>
      <c r="S19" s="27">
        <f t="shared" si="12"/>
        <v>119793.96</v>
      </c>
      <c r="T19" s="27">
        <f t="shared" si="12"/>
        <v>979672.57</v>
      </c>
      <c r="U19" s="27">
        <f t="shared" si="12"/>
        <v>696147.9099999999</v>
      </c>
      <c r="V19" s="27">
        <f t="shared" si="12"/>
        <v>23101.63</v>
      </c>
      <c r="W19" s="27">
        <f t="shared" si="12"/>
        <v>783757.02</v>
      </c>
      <c r="X19" s="27">
        <f t="shared" si="12"/>
        <v>13501.44</v>
      </c>
      <c r="Y19" s="59">
        <f t="shared" si="12"/>
        <v>17813.150549156177</v>
      </c>
      <c r="Z19" s="59">
        <f t="shared" si="12"/>
        <v>715.2157781944817</v>
      </c>
      <c r="AA19" s="59">
        <f t="shared" si="12"/>
        <v>8203.877042593089</v>
      </c>
      <c r="AB19" s="59">
        <f t="shared" si="12"/>
        <v>3994.2511384945083</v>
      </c>
      <c r="AC19" s="59">
        <f t="shared" si="12"/>
        <v>137.9255290650951</v>
      </c>
      <c r="AD19" s="59">
        <f t="shared" si="12"/>
        <v>4610.481248325744</v>
      </c>
      <c r="AE19" s="59">
        <f t="shared" si="12"/>
        <v>151.39981248325745</v>
      </c>
      <c r="AF19" s="27">
        <f>AG19</f>
        <v>74.66</v>
      </c>
      <c r="AG19" s="27">
        <f>AG22</f>
        <v>74.66</v>
      </c>
      <c r="AH19" s="27">
        <f>AH22</f>
        <v>74.66</v>
      </c>
      <c r="AI19" s="27">
        <f>AI22</f>
        <v>74.66</v>
      </c>
      <c r="AJ19" s="27">
        <f>AJ22</f>
        <v>74.66</v>
      </c>
      <c r="AK19" s="28">
        <f>AK22</f>
        <v>74.66</v>
      </c>
      <c r="AL19" s="27">
        <f>AL26</f>
        <v>74.66</v>
      </c>
      <c r="AM19" s="27">
        <f aca="true" t="shared" si="13" ref="AM19:AZ19">SUM(AM20:AM26)</f>
        <v>1329929.8200000003</v>
      </c>
      <c r="AN19" s="27">
        <f t="shared" si="13"/>
        <v>53398.01</v>
      </c>
      <c r="AO19" s="27">
        <f t="shared" si="13"/>
        <v>612501.46</v>
      </c>
      <c r="AP19" s="27">
        <f t="shared" si="13"/>
        <v>298210.79</v>
      </c>
      <c r="AQ19" s="27">
        <f t="shared" si="13"/>
        <v>10297.52</v>
      </c>
      <c r="AR19" s="27">
        <f t="shared" si="13"/>
        <v>344218.53</v>
      </c>
      <c r="AS19" s="27">
        <f t="shared" si="13"/>
        <v>11303.51</v>
      </c>
      <c r="AT19" s="118">
        <f t="shared" si="13"/>
        <v>1284174.776757</v>
      </c>
      <c r="AU19" s="27">
        <f t="shared" si="13"/>
        <v>66393.482714</v>
      </c>
      <c r="AV19" s="27">
        <f t="shared" si="13"/>
        <v>367133.45033100003</v>
      </c>
      <c r="AW19" s="27">
        <f t="shared" si="13"/>
        <v>397915.92340900004</v>
      </c>
      <c r="AX19" s="27">
        <f t="shared" si="13"/>
        <v>12803.624165000001</v>
      </c>
      <c r="AY19" s="27">
        <f t="shared" si="13"/>
        <v>437731.48213799996</v>
      </c>
      <c r="AZ19" s="27">
        <f t="shared" si="13"/>
        <v>2196.8140000000008</v>
      </c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</row>
    <row r="20" spans="1:52" s="4" customFormat="1" ht="41.25" customHeight="1">
      <c r="A20" s="70"/>
      <c r="B20" s="47" t="s">
        <v>24</v>
      </c>
      <c r="C20" s="47"/>
      <c r="D20" s="64">
        <f aca="true" t="shared" si="14" ref="D20:D25">SUM(E20:I20)</f>
        <v>290.59</v>
      </c>
      <c r="E20" s="69"/>
      <c r="F20" s="69"/>
      <c r="G20" s="69">
        <v>290.59</v>
      </c>
      <c r="H20" s="69"/>
      <c r="I20" s="69"/>
      <c r="J20" s="34"/>
      <c r="K20" s="14">
        <f t="shared" si="5"/>
        <v>260.8432155270312</v>
      </c>
      <c r="L20" s="50"/>
      <c r="M20" s="73"/>
      <c r="N20" s="131">
        <v>260.85</v>
      </c>
      <c r="O20" s="50"/>
      <c r="P20" s="50"/>
      <c r="Q20" s="50"/>
      <c r="R20" s="63">
        <f aca="true" t="shared" si="15" ref="R20:R25">SUM(S20:W20)</f>
        <v>75798.43</v>
      </c>
      <c r="S20" s="50"/>
      <c r="T20" s="50"/>
      <c r="U20" s="50">
        <v>75798.43</v>
      </c>
      <c r="V20" s="73"/>
      <c r="W20" s="73"/>
      <c r="X20" s="73"/>
      <c r="Y20" s="100">
        <f aca="true" t="shared" si="16" ref="Y20:Y25">SUM(Z20:AD20)</f>
        <v>290.5888025716582</v>
      </c>
      <c r="Z20" s="98"/>
      <c r="AA20" s="98"/>
      <c r="AB20" s="98">
        <f>AP20/AI20</f>
        <v>290.5888025716582</v>
      </c>
      <c r="AC20" s="98"/>
      <c r="AD20" s="98"/>
      <c r="AE20" s="98"/>
      <c r="AF20" s="63">
        <f>AI20</f>
        <v>74.66</v>
      </c>
      <c r="AG20" s="73"/>
      <c r="AH20" s="73"/>
      <c r="AI20" s="73">
        <v>74.66</v>
      </c>
      <c r="AJ20" s="73"/>
      <c r="AK20" s="73"/>
      <c r="AL20" s="73"/>
      <c r="AM20" s="63">
        <f aca="true" t="shared" si="17" ref="AM20:AM25">SUM(AN20:AR20)</f>
        <v>21695.36</v>
      </c>
      <c r="AN20" s="73"/>
      <c r="AO20" s="73"/>
      <c r="AP20" s="73">
        <f>21695.36</f>
        <v>21695.36</v>
      </c>
      <c r="AQ20" s="73"/>
      <c r="AR20" s="73"/>
      <c r="AS20" s="73"/>
      <c r="AT20" s="63">
        <f aca="true" t="shared" si="18" ref="AT20:AT25">SUM(AU20:AY20)</f>
        <v>54104.9521</v>
      </c>
      <c r="AU20" s="73"/>
      <c r="AV20" s="73"/>
      <c r="AW20" s="37">
        <f>(N20-AI20)*G20</f>
        <v>54104.9521</v>
      </c>
      <c r="AX20" s="73"/>
      <c r="AY20" s="73"/>
      <c r="AZ20" s="73"/>
    </row>
    <row r="21" spans="1:52" s="4" customFormat="1" ht="58.5" customHeight="1">
      <c r="A21" s="66"/>
      <c r="B21" s="55" t="s">
        <v>43</v>
      </c>
      <c r="C21" s="47"/>
      <c r="D21" s="62">
        <f t="shared" si="14"/>
        <v>172.371</v>
      </c>
      <c r="E21" s="68"/>
      <c r="F21" s="69">
        <v>172.371</v>
      </c>
      <c r="G21" s="69"/>
      <c r="H21" s="69"/>
      <c r="I21" s="69"/>
      <c r="J21" s="69"/>
      <c r="K21" s="57">
        <f t="shared" si="5"/>
        <v>106.17853351201767</v>
      </c>
      <c r="L21" s="50"/>
      <c r="M21" s="36">
        <v>106.18</v>
      </c>
      <c r="N21" s="50"/>
      <c r="O21" s="50"/>
      <c r="P21" s="50"/>
      <c r="Q21" s="50"/>
      <c r="R21" s="35">
        <f t="shared" si="15"/>
        <v>18302.1</v>
      </c>
      <c r="S21" s="50"/>
      <c r="T21" s="50">
        <v>18302.1</v>
      </c>
      <c r="U21" s="50"/>
      <c r="V21" s="36"/>
      <c r="W21" s="36"/>
      <c r="X21" s="36"/>
      <c r="Y21" s="62">
        <f t="shared" si="16"/>
        <v>172.37074738815969</v>
      </c>
      <c r="Z21" s="34"/>
      <c r="AA21" s="34">
        <f>AO21/AH21</f>
        <v>172.37074738815969</v>
      </c>
      <c r="AB21" s="34"/>
      <c r="AC21" s="34"/>
      <c r="AD21" s="34"/>
      <c r="AE21" s="34"/>
      <c r="AF21" s="35">
        <f>AH21</f>
        <v>74.66</v>
      </c>
      <c r="AG21" s="36"/>
      <c r="AH21" s="36">
        <v>74.66</v>
      </c>
      <c r="AI21" s="36"/>
      <c r="AJ21" s="36"/>
      <c r="AK21" s="36"/>
      <c r="AL21" s="36"/>
      <c r="AM21" s="35">
        <f t="shared" si="17"/>
        <v>12869.2</v>
      </c>
      <c r="AN21" s="36"/>
      <c r="AO21" s="36">
        <f>12869.2</f>
        <v>12869.2</v>
      </c>
      <c r="AP21" s="36"/>
      <c r="AQ21" s="36"/>
      <c r="AR21" s="36"/>
      <c r="AS21" s="36"/>
      <c r="AT21" s="35">
        <f t="shared" si="18"/>
        <v>5433.133920000002</v>
      </c>
      <c r="AU21" s="13"/>
      <c r="AV21" s="13">
        <f>(M21-AH21)*F21</f>
        <v>5433.133920000002</v>
      </c>
      <c r="AW21" s="13"/>
      <c r="AX21" s="13"/>
      <c r="AY21" s="13"/>
      <c r="AZ21" s="36"/>
    </row>
    <row r="22" spans="1:52" ht="40.5" customHeight="1">
      <c r="A22" s="9"/>
      <c r="B22" s="39" t="s">
        <v>35</v>
      </c>
      <c r="C22" s="40"/>
      <c r="D22" s="64">
        <f t="shared" si="14"/>
        <v>8870.9395</v>
      </c>
      <c r="E22" s="65">
        <v>715.2158</v>
      </c>
      <c r="F22" s="65">
        <v>171.4752</v>
      </c>
      <c r="G22" s="65">
        <v>3703.6623</v>
      </c>
      <c r="H22" s="65">
        <v>137.9255</v>
      </c>
      <c r="I22" s="65">
        <v>4142.6607</v>
      </c>
      <c r="J22" s="65"/>
      <c r="K22" s="14">
        <f t="shared" si="5"/>
        <v>169.11835662953172</v>
      </c>
      <c r="L22" s="13">
        <v>167.49</v>
      </c>
      <c r="M22" s="13">
        <f>L22</f>
        <v>167.49</v>
      </c>
      <c r="N22" s="13">
        <f>L22</f>
        <v>167.49</v>
      </c>
      <c r="O22" s="13">
        <f>L22</f>
        <v>167.49</v>
      </c>
      <c r="P22" s="130">
        <f>W22/I22</f>
        <v>170.97046108555304</v>
      </c>
      <c r="Q22" s="13"/>
      <c r="R22" s="14">
        <f t="shared" si="15"/>
        <v>1500238.71</v>
      </c>
      <c r="S22" s="13">
        <v>119793.96</v>
      </c>
      <c r="T22" s="13">
        <v>28721.03</v>
      </c>
      <c r="U22" s="13">
        <v>620349.48</v>
      </c>
      <c r="V22" s="13">
        <v>23101.63</v>
      </c>
      <c r="W22" s="13">
        <v>708272.61</v>
      </c>
      <c r="X22" s="13"/>
      <c r="Y22" s="64">
        <f t="shared" si="16"/>
        <v>8846.759308866864</v>
      </c>
      <c r="Z22" s="65">
        <f>AN22/AG22</f>
        <v>715.2157781944817</v>
      </c>
      <c r="AA22" s="65">
        <f>AO22/AH22</f>
        <v>171.47522100187518</v>
      </c>
      <c r="AB22" s="65">
        <f>AP22/AI22</f>
        <v>3703.66233592285</v>
      </c>
      <c r="AC22" s="65">
        <f>AQ22/AJ22</f>
        <v>137.9255290650951</v>
      </c>
      <c r="AD22" s="65">
        <f>AR22/AK22</f>
        <v>4118.480444682561</v>
      </c>
      <c r="AE22" s="65"/>
      <c r="AF22" s="14">
        <f>AG22</f>
        <v>74.66</v>
      </c>
      <c r="AG22" s="13">
        <v>74.66</v>
      </c>
      <c r="AH22" s="13">
        <v>74.66</v>
      </c>
      <c r="AI22" s="13">
        <v>74.66</v>
      </c>
      <c r="AJ22" s="13">
        <v>74.66</v>
      </c>
      <c r="AK22" s="13">
        <v>74.66</v>
      </c>
      <c r="AL22" s="13"/>
      <c r="AM22" s="14">
        <f t="shared" si="17"/>
        <v>660499.05</v>
      </c>
      <c r="AN22" s="13">
        <f>53398.01</f>
        <v>53398.01</v>
      </c>
      <c r="AO22" s="13">
        <f>12802.34</f>
        <v>12802.34</v>
      </c>
      <c r="AP22" s="13">
        <f>61972.86+214542.57</f>
        <v>276515.43</v>
      </c>
      <c r="AQ22" s="13">
        <f>10297.52</f>
        <v>10297.52</v>
      </c>
      <c r="AR22" s="13">
        <f>306906.99+578.76</f>
        <v>307485.75</v>
      </c>
      <c r="AS22" s="13"/>
      <c r="AT22" s="14">
        <f t="shared" si="18"/>
        <v>837907.683142</v>
      </c>
      <c r="AU22" s="37">
        <f>(L22-AG22)*E22</f>
        <v>66393.482714</v>
      </c>
      <c r="AV22" s="37">
        <f>(M22-AH22)*F22</f>
        <v>15918.042816000003</v>
      </c>
      <c r="AW22" s="37">
        <f>(N22-AI22)*G22</f>
        <v>343810.97130900004</v>
      </c>
      <c r="AX22" s="37">
        <f>(O22-AJ22)*H22</f>
        <v>12803.624165000001</v>
      </c>
      <c r="AY22" s="37">
        <f>(P22-AK22)*I22</f>
        <v>398981.562138</v>
      </c>
      <c r="AZ22" s="13"/>
    </row>
    <row r="23" spans="1:52" s="4" customFormat="1" ht="42" customHeight="1">
      <c r="A23" s="66"/>
      <c r="B23" s="39" t="s">
        <v>23</v>
      </c>
      <c r="C23" s="39"/>
      <c r="D23" s="64">
        <f t="shared" si="14"/>
        <v>521.947</v>
      </c>
      <c r="E23" s="65"/>
      <c r="F23" s="65">
        <v>521.947</v>
      </c>
      <c r="G23" s="65"/>
      <c r="H23" s="65"/>
      <c r="I23" s="65"/>
      <c r="J23" s="65"/>
      <c r="K23" s="14">
        <f t="shared" si="5"/>
        <v>109.12640555458695</v>
      </c>
      <c r="L23" s="13"/>
      <c r="M23" s="13">
        <v>109.13</v>
      </c>
      <c r="N23" s="13"/>
      <c r="O23" s="13"/>
      <c r="P23" s="13"/>
      <c r="Q23" s="13"/>
      <c r="R23" s="14">
        <f t="shared" si="15"/>
        <v>56958.2</v>
      </c>
      <c r="S23" s="13"/>
      <c r="T23" s="13">
        <v>56958.2</v>
      </c>
      <c r="U23" s="13"/>
      <c r="V23" s="13"/>
      <c r="W23" s="13"/>
      <c r="X23" s="13"/>
      <c r="Y23" s="64">
        <f t="shared" si="16"/>
        <v>521.9469595499598</v>
      </c>
      <c r="Z23" s="65"/>
      <c r="AA23" s="65">
        <f>AO23/AH23</f>
        <v>521.9469595499598</v>
      </c>
      <c r="AB23" s="65"/>
      <c r="AC23" s="65"/>
      <c r="AD23" s="65"/>
      <c r="AE23" s="65"/>
      <c r="AF23" s="14">
        <f>AH23</f>
        <v>74.66</v>
      </c>
      <c r="AG23" s="13"/>
      <c r="AH23" s="13">
        <v>74.66</v>
      </c>
      <c r="AI23" s="13"/>
      <c r="AJ23" s="13"/>
      <c r="AK23" s="13"/>
      <c r="AL23" s="13"/>
      <c r="AM23" s="14">
        <f t="shared" si="17"/>
        <v>38968.56</v>
      </c>
      <c r="AN23" s="13"/>
      <c r="AO23" s="13">
        <v>38968.56</v>
      </c>
      <c r="AP23" s="13"/>
      <c r="AQ23" s="13"/>
      <c r="AR23" s="13"/>
      <c r="AS23" s="13"/>
      <c r="AT23" s="14">
        <f t="shared" si="18"/>
        <v>17991.51309</v>
      </c>
      <c r="AU23" s="13"/>
      <c r="AV23" s="37">
        <f>(M23-AH23)*F23</f>
        <v>17991.51309</v>
      </c>
      <c r="AW23" s="13"/>
      <c r="AX23" s="13"/>
      <c r="AY23" s="13"/>
      <c r="AZ23" s="13"/>
    </row>
    <row r="24" spans="1:52" s="4" customFormat="1" ht="57" customHeight="1">
      <c r="A24" s="66"/>
      <c r="B24" s="43" t="s">
        <v>41</v>
      </c>
      <c r="C24" s="43"/>
      <c r="D24" s="67">
        <f t="shared" si="14"/>
        <v>7338.0515</v>
      </c>
      <c r="E24" s="34"/>
      <c r="F24" s="97">
        <v>7338.0515</v>
      </c>
      <c r="G24" s="34"/>
      <c r="H24" s="34"/>
      <c r="I24" s="97"/>
      <c r="J24" s="97"/>
      <c r="K24" s="15">
        <f t="shared" si="5"/>
        <v>119.33566287998933</v>
      </c>
      <c r="L24" s="37"/>
      <c r="M24" s="129">
        <v>119.33</v>
      </c>
      <c r="N24" s="37"/>
      <c r="O24" s="37"/>
      <c r="P24" s="37"/>
      <c r="Q24" s="37"/>
      <c r="R24" s="15">
        <f t="shared" si="15"/>
        <v>875691.24</v>
      </c>
      <c r="S24" s="37"/>
      <c r="T24" s="37">
        <v>875691.24</v>
      </c>
      <c r="U24" s="37"/>
      <c r="V24" s="37"/>
      <c r="W24" s="37"/>
      <c r="X24" s="37"/>
      <c r="Y24" s="67">
        <f t="shared" si="16"/>
        <v>7338.084114653094</v>
      </c>
      <c r="Z24" s="97"/>
      <c r="AA24" s="97">
        <f>AO24/AH24</f>
        <v>7338.084114653094</v>
      </c>
      <c r="AB24" s="97"/>
      <c r="AC24" s="97"/>
      <c r="AD24" s="97"/>
      <c r="AE24" s="97"/>
      <c r="AF24" s="15">
        <f>AH24</f>
        <v>74.66</v>
      </c>
      <c r="AG24" s="37"/>
      <c r="AH24" s="37">
        <v>74.66</v>
      </c>
      <c r="AI24" s="37"/>
      <c r="AJ24" s="37"/>
      <c r="AK24" s="37"/>
      <c r="AL24" s="37"/>
      <c r="AM24" s="15">
        <f t="shared" si="17"/>
        <v>547861.36</v>
      </c>
      <c r="AN24" s="37"/>
      <c r="AO24" s="36">
        <f>30812.71+517048.65</f>
        <v>547861.36</v>
      </c>
      <c r="AP24" s="37"/>
      <c r="AQ24" s="37"/>
      <c r="AR24" s="37"/>
      <c r="AS24" s="37"/>
      <c r="AT24" s="15">
        <f t="shared" si="18"/>
        <v>327790.760505</v>
      </c>
      <c r="AU24" s="37"/>
      <c r="AV24" s="37">
        <f>(M24-AH24)*F24</f>
        <v>327790.760505</v>
      </c>
      <c r="AW24" s="37"/>
      <c r="AX24" s="37"/>
      <c r="AY24" s="37"/>
      <c r="AZ24" s="37"/>
    </row>
    <row r="25" spans="1:52" ht="65.25" customHeight="1">
      <c r="A25" s="9"/>
      <c r="B25" s="39" t="s">
        <v>42</v>
      </c>
      <c r="C25" s="40"/>
      <c r="D25" s="64">
        <f t="shared" si="14"/>
        <v>492</v>
      </c>
      <c r="E25" s="65"/>
      <c r="F25" s="65"/>
      <c r="G25" s="65"/>
      <c r="H25" s="65"/>
      <c r="I25" s="65">
        <v>492</v>
      </c>
      <c r="J25" s="65"/>
      <c r="K25" s="14">
        <f t="shared" si="5"/>
        <v>153.42359756097562</v>
      </c>
      <c r="L25" s="13"/>
      <c r="M25" s="13"/>
      <c r="N25" s="13"/>
      <c r="O25" s="13"/>
      <c r="P25" s="13">
        <v>153.42</v>
      </c>
      <c r="Q25" s="13"/>
      <c r="R25" s="14">
        <f t="shared" si="15"/>
        <v>75484.41</v>
      </c>
      <c r="S25" s="13"/>
      <c r="T25" s="13"/>
      <c r="U25" s="13"/>
      <c r="V25" s="13"/>
      <c r="W25" s="13">
        <v>75484.41</v>
      </c>
      <c r="X25" s="13"/>
      <c r="Y25" s="64">
        <f t="shared" si="16"/>
        <v>492.00080364318245</v>
      </c>
      <c r="Z25" s="65"/>
      <c r="AA25" s="65"/>
      <c r="AB25" s="65"/>
      <c r="AC25" s="65"/>
      <c r="AD25" s="65">
        <f>AR25/AK25</f>
        <v>492.00080364318245</v>
      </c>
      <c r="AE25" s="65"/>
      <c r="AF25" s="14">
        <f>AK25</f>
        <v>74.66</v>
      </c>
      <c r="AG25" s="13"/>
      <c r="AH25" s="13"/>
      <c r="AI25" s="13"/>
      <c r="AJ25" s="13"/>
      <c r="AK25" s="37">
        <v>74.66</v>
      </c>
      <c r="AL25" s="13"/>
      <c r="AM25" s="14">
        <f t="shared" si="17"/>
        <v>36732.78</v>
      </c>
      <c r="AN25" s="13"/>
      <c r="AO25" s="13"/>
      <c r="AP25" s="13"/>
      <c r="AQ25" s="13"/>
      <c r="AR25" s="13">
        <f>36732.78</f>
        <v>36732.78</v>
      </c>
      <c r="AS25" s="13"/>
      <c r="AT25" s="14">
        <f t="shared" si="18"/>
        <v>38749.92</v>
      </c>
      <c r="AU25" s="37"/>
      <c r="AV25" s="37"/>
      <c r="AW25" s="37"/>
      <c r="AX25" s="37"/>
      <c r="AY25" s="37">
        <f>(P25-AK25)*I25</f>
        <v>38749.92</v>
      </c>
      <c r="AZ25" s="13"/>
    </row>
    <row r="26" spans="1:52" ht="58.5" customHeight="1" thickBot="1">
      <c r="A26" s="38">
        <v>36</v>
      </c>
      <c r="B26" s="39" t="s">
        <v>37</v>
      </c>
      <c r="C26" s="106"/>
      <c r="D26" s="62">
        <f>SUM(E26:J26)</f>
        <v>151.4</v>
      </c>
      <c r="E26" s="42"/>
      <c r="F26" s="42"/>
      <c r="G26" s="76"/>
      <c r="H26" s="42"/>
      <c r="I26" s="107"/>
      <c r="J26" s="69">
        <v>151.4</v>
      </c>
      <c r="K26" s="35">
        <f t="shared" si="5"/>
        <v>89.1772787318362</v>
      </c>
      <c r="L26" s="108"/>
      <c r="M26" s="13"/>
      <c r="N26" s="13"/>
      <c r="O26" s="13"/>
      <c r="P26" s="13"/>
      <c r="Q26" s="13">
        <v>89.17</v>
      </c>
      <c r="R26" s="57">
        <f>SUM(S26:X26)</f>
        <v>13501.44</v>
      </c>
      <c r="S26" s="13"/>
      <c r="T26" s="13"/>
      <c r="U26" s="13"/>
      <c r="V26" s="13"/>
      <c r="W26" s="13"/>
      <c r="X26" s="13">
        <v>13501.44</v>
      </c>
      <c r="Y26" s="64">
        <f>AE26</f>
        <v>151.39981248325745</v>
      </c>
      <c r="Z26" s="65"/>
      <c r="AA26" s="65"/>
      <c r="AB26" s="65"/>
      <c r="AC26" s="65"/>
      <c r="AD26" s="65"/>
      <c r="AE26" s="65">
        <f>AS26/AL26</f>
        <v>151.39981248325745</v>
      </c>
      <c r="AF26" s="14">
        <f>AL26</f>
        <v>74.66</v>
      </c>
      <c r="AG26" s="13"/>
      <c r="AH26" s="13"/>
      <c r="AI26" s="13"/>
      <c r="AJ26" s="13"/>
      <c r="AK26" s="109"/>
      <c r="AL26" s="109">
        <v>74.66</v>
      </c>
      <c r="AM26" s="14">
        <f>AS26</f>
        <v>11303.51</v>
      </c>
      <c r="AN26" s="13"/>
      <c r="AO26" s="13"/>
      <c r="AP26" s="13"/>
      <c r="AQ26" s="13"/>
      <c r="AR26" s="13"/>
      <c r="AS26" s="13">
        <v>11303.51</v>
      </c>
      <c r="AT26" s="57">
        <f>SUM(AU26:AZ26)</f>
        <v>2196.8140000000008</v>
      </c>
      <c r="AU26" s="36"/>
      <c r="AV26" s="36"/>
      <c r="AW26" s="36"/>
      <c r="AX26" s="36"/>
      <c r="AY26" s="36"/>
      <c r="AZ26" s="37">
        <f>(Q26-AL26)*J26</f>
        <v>2196.8140000000008</v>
      </c>
    </row>
    <row r="27" spans="1:65" s="29" customFormat="1" ht="43.5" customHeight="1" thickBot="1">
      <c r="A27" s="23">
        <v>3</v>
      </c>
      <c r="B27" s="24" t="s">
        <v>1</v>
      </c>
      <c r="C27" s="24" t="s">
        <v>5</v>
      </c>
      <c r="D27" s="71">
        <f aca="true" t="shared" si="19" ref="D27:J27">SUM(D28:D36)</f>
        <v>73637.252</v>
      </c>
      <c r="E27" s="71">
        <f t="shared" si="19"/>
        <v>9075.6</v>
      </c>
      <c r="F27" s="71">
        <f t="shared" si="19"/>
        <v>30538.771999999997</v>
      </c>
      <c r="G27" s="71">
        <f t="shared" si="19"/>
        <v>14954.37</v>
      </c>
      <c r="H27" s="71">
        <f t="shared" si="19"/>
        <v>10896.1</v>
      </c>
      <c r="I27" s="71">
        <f t="shared" si="19"/>
        <v>7238.41</v>
      </c>
      <c r="J27" s="71">
        <f t="shared" si="19"/>
        <v>934</v>
      </c>
      <c r="K27" s="28">
        <f t="shared" si="5"/>
        <v>22.877313645544515</v>
      </c>
      <c r="L27" s="28">
        <f aca="true" t="shared" si="20" ref="L27:Q27">S27/E27</f>
        <v>24.68598880514787</v>
      </c>
      <c r="M27" s="28">
        <f t="shared" si="20"/>
        <v>24.91825768239797</v>
      </c>
      <c r="N27" s="28">
        <f t="shared" si="20"/>
        <v>20.38205220280092</v>
      </c>
      <c r="O27" s="28">
        <f t="shared" si="20"/>
        <v>19.953799983480327</v>
      </c>
      <c r="P27" s="28">
        <f t="shared" si="20"/>
        <v>20.80989195140922</v>
      </c>
      <c r="Q27" s="28">
        <f t="shared" si="20"/>
        <v>28.650406852248395</v>
      </c>
      <c r="R27" s="28">
        <f aca="true" t="shared" si="21" ref="R27:AE27">SUM(R28:R36)</f>
        <v>1684622.51</v>
      </c>
      <c r="S27" s="28">
        <f t="shared" si="21"/>
        <v>224040.16</v>
      </c>
      <c r="T27" s="28">
        <f t="shared" si="21"/>
        <v>760972.99</v>
      </c>
      <c r="U27" s="28">
        <f t="shared" si="21"/>
        <v>304800.75</v>
      </c>
      <c r="V27" s="28">
        <f t="shared" si="21"/>
        <v>217418.6</v>
      </c>
      <c r="W27" s="28">
        <f t="shared" si="21"/>
        <v>150630.53</v>
      </c>
      <c r="X27" s="28">
        <f t="shared" si="21"/>
        <v>26759.48</v>
      </c>
      <c r="Y27" s="60">
        <f t="shared" si="21"/>
        <v>73345.15461912024</v>
      </c>
      <c r="Z27" s="60">
        <f t="shared" si="21"/>
        <v>9045.979145473042</v>
      </c>
      <c r="AA27" s="60">
        <f t="shared" si="21"/>
        <v>30635.553916581892</v>
      </c>
      <c r="AB27" s="60">
        <f t="shared" si="21"/>
        <v>14982.053481331986</v>
      </c>
      <c r="AC27" s="60">
        <f t="shared" si="21"/>
        <v>9888.537290715372</v>
      </c>
      <c r="AD27" s="60">
        <f t="shared" si="21"/>
        <v>7858.937916880452</v>
      </c>
      <c r="AE27" s="60">
        <f t="shared" si="21"/>
        <v>934.0928681375066</v>
      </c>
      <c r="AF27" s="28">
        <f aca="true" t="shared" si="22" ref="AF27:AF45">AM27/Y27</f>
        <v>19.67904338732871</v>
      </c>
      <c r="AG27" s="28">
        <f>AG32</f>
        <v>19.66</v>
      </c>
      <c r="AH27" s="101">
        <f>AO27/AA27</f>
        <v>19.66</v>
      </c>
      <c r="AI27" s="101">
        <f>AI32</f>
        <v>19.82</v>
      </c>
      <c r="AJ27" s="101">
        <f>AJ32</f>
        <v>19.71</v>
      </c>
      <c r="AK27" s="101">
        <f>AK32</f>
        <v>19.49</v>
      </c>
      <c r="AL27" s="101">
        <f>AL33</f>
        <v>19.49</v>
      </c>
      <c r="AM27" s="101">
        <f aca="true" t="shared" si="23" ref="AM27:AZ27">SUM(AM28:AM36)</f>
        <v>1443362.48</v>
      </c>
      <c r="AN27" s="119">
        <f t="shared" si="23"/>
        <v>177843.95</v>
      </c>
      <c r="AO27" s="119">
        <f t="shared" si="23"/>
        <v>602294.99</v>
      </c>
      <c r="AP27" s="119">
        <f t="shared" si="23"/>
        <v>296944.3</v>
      </c>
      <c r="AQ27" s="119">
        <f t="shared" si="23"/>
        <v>194903.07</v>
      </c>
      <c r="AR27" s="119">
        <f t="shared" si="23"/>
        <v>153170.7</v>
      </c>
      <c r="AS27" s="119">
        <f t="shared" si="23"/>
        <v>18205.47</v>
      </c>
      <c r="AT27" s="118">
        <f t="shared" si="23"/>
        <v>235195.76433999994</v>
      </c>
      <c r="AU27" s="28">
        <f t="shared" si="23"/>
        <v>45596.02399999999</v>
      </c>
      <c r="AV27" s="28">
        <f t="shared" si="23"/>
        <v>160553.04333999997</v>
      </c>
      <c r="AW27" s="28">
        <f t="shared" si="23"/>
        <v>8350.145199999984</v>
      </c>
      <c r="AX27" s="28">
        <f t="shared" si="23"/>
        <v>2615.063999999983</v>
      </c>
      <c r="AY27" s="28">
        <f t="shared" si="23"/>
        <v>9526.047800000006</v>
      </c>
      <c r="AZ27" s="28">
        <f t="shared" si="23"/>
        <v>8555.44</v>
      </c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</row>
    <row r="28" spans="1:52" ht="51" customHeight="1">
      <c r="A28" s="74"/>
      <c r="B28" s="47" t="s">
        <v>20</v>
      </c>
      <c r="C28" s="32"/>
      <c r="D28" s="75">
        <f aca="true" t="shared" si="24" ref="D28:D36">SUM(E28:J28)</f>
        <v>154</v>
      </c>
      <c r="E28" s="76">
        <v>154</v>
      </c>
      <c r="F28" s="76"/>
      <c r="G28" s="76"/>
      <c r="H28" s="76"/>
      <c r="I28" s="76"/>
      <c r="J28" s="76"/>
      <c r="K28" s="14">
        <f t="shared" si="5"/>
        <v>34.99883116883117</v>
      </c>
      <c r="L28" s="37">
        <v>35</v>
      </c>
      <c r="M28" s="36"/>
      <c r="N28" s="36"/>
      <c r="O28" s="37"/>
      <c r="P28" s="37"/>
      <c r="Q28" s="37"/>
      <c r="R28" s="14">
        <f aca="true" t="shared" si="25" ref="R28:R36">SUM(S28:X28)</f>
        <v>5389.82</v>
      </c>
      <c r="S28" s="36">
        <v>5389.82</v>
      </c>
      <c r="T28" s="36"/>
      <c r="U28" s="36"/>
      <c r="V28" s="13"/>
      <c r="W28" s="13"/>
      <c r="X28" s="13"/>
      <c r="Y28" s="64">
        <f>SUM(Z28:AD28)</f>
        <v>154.00050864699898</v>
      </c>
      <c r="Z28" s="65">
        <f>AN28/AG28</f>
        <v>154.00050864699898</v>
      </c>
      <c r="AA28" s="65"/>
      <c r="AB28" s="65"/>
      <c r="AC28" s="65"/>
      <c r="AD28" s="65"/>
      <c r="AE28" s="65"/>
      <c r="AF28" s="14">
        <f>AM28/Y28</f>
        <v>19.66</v>
      </c>
      <c r="AG28" s="13">
        <v>19.66</v>
      </c>
      <c r="AH28" s="13"/>
      <c r="AI28" s="13"/>
      <c r="AJ28" s="13"/>
      <c r="AK28" s="13"/>
      <c r="AL28" s="13"/>
      <c r="AM28" s="14">
        <f>SUM(AN28:AR28)</f>
        <v>3027.65</v>
      </c>
      <c r="AN28" s="36">
        <v>3027.65</v>
      </c>
      <c r="AO28" s="36"/>
      <c r="AP28" s="36"/>
      <c r="AQ28" s="13"/>
      <c r="AR28" s="13"/>
      <c r="AS28" s="13"/>
      <c r="AT28" s="14">
        <f>SUM(AU28:AY28)</f>
        <v>2362.36</v>
      </c>
      <c r="AU28" s="37">
        <f>(L28-AG28)*E28</f>
        <v>2362.36</v>
      </c>
      <c r="AV28" s="37"/>
      <c r="AW28" s="37"/>
      <c r="AX28" s="37"/>
      <c r="AY28" s="37"/>
      <c r="AZ28" s="13"/>
    </row>
    <row r="29" spans="1:52" ht="54" customHeight="1">
      <c r="A29" s="74"/>
      <c r="B29" s="47" t="s">
        <v>21</v>
      </c>
      <c r="C29" s="48"/>
      <c r="D29" s="75">
        <f t="shared" si="24"/>
        <v>395.11</v>
      </c>
      <c r="E29" s="76"/>
      <c r="F29" s="76"/>
      <c r="G29" s="76">
        <v>395.11</v>
      </c>
      <c r="H29" s="76"/>
      <c r="I29" s="76"/>
      <c r="J29" s="76"/>
      <c r="K29" s="14">
        <f t="shared" si="5"/>
        <v>33.75981372276075</v>
      </c>
      <c r="L29" s="37"/>
      <c r="M29" s="13"/>
      <c r="N29" s="50">
        <v>33.76</v>
      </c>
      <c r="O29" s="37"/>
      <c r="P29" s="37"/>
      <c r="Q29" s="37"/>
      <c r="R29" s="14">
        <f t="shared" si="25"/>
        <v>13338.84</v>
      </c>
      <c r="S29" s="50"/>
      <c r="T29" s="50"/>
      <c r="U29" s="50">
        <v>13338.84</v>
      </c>
      <c r="V29" s="36"/>
      <c r="W29" s="36"/>
      <c r="X29" s="13"/>
      <c r="Y29" s="67">
        <f>SUM(Z29:AD29)</f>
        <v>395.1135216952573</v>
      </c>
      <c r="Z29" s="97"/>
      <c r="AA29" s="97"/>
      <c r="AB29" s="97">
        <f>AP29/AI29</f>
        <v>395.1135216952573</v>
      </c>
      <c r="AC29" s="97"/>
      <c r="AD29" s="97"/>
      <c r="AE29" s="97"/>
      <c r="AF29" s="14">
        <f>AM29/Y29</f>
        <v>19.82</v>
      </c>
      <c r="AG29" s="13"/>
      <c r="AH29" s="13"/>
      <c r="AI29" s="13">
        <v>19.82</v>
      </c>
      <c r="AJ29" s="13"/>
      <c r="AK29" s="13"/>
      <c r="AL29" s="37"/>
      <c r="AM29" s="15">
        <f>SUM(AN29:AR29)</f>
        <v>7831.15</v>
      </c>
      <c r="AN29" s="50"/>
      <c r="AO29" s="50"/>
      <c r="AP29" s="50">
        <v>7831.15</v>
      </c>
      <c r="AQ29" s="36"/>
      <c r="AR29" s="36"/>
      <c r="AS29" s="13"/>
      <c r="AT29" s="14">
        <f>SUM(AU29:AY29)</f>
        <v>5507.8333999999995</v>
      </c>
      <c r="AU29" s="37"/>
      <c r="AV29" s="37"/>
      <c r="AW29" s="37">
        <f>(N29-AI29)*G29</f>
        <v>5507.8333999999995</v>
      </c>
      <c r="AX29" s="37"/>
      <c r="AY29" s="37"/>
      <c r="AZ29" s="13"/>
    </row>
    <row r="30" spans="1:52" ht="59.25" customHeight="1">
      <c r="A30" s="38"/>
      <c r="B30" s="54" t="s">
        <v>39</v>
      </c>
      <c r="C30" s="40"/>
      <c r="D30" s="75">
        <f t="shared" si="24"/>
        <v>8112.649</v>
      </c>
      <c r="E30" s="76"/>
      <c r="F30" s="65">
        <v>8112.649</v>
      </c>
      <c r="G30" s="76"/>
      <c r="H30" s="76"/>
      <c r="I30" s="76"/>
      <c r="J30" s="76"/>
      <c r="K30" s="14">
        <f t="shared" si="5"/>
        <v>22.110000075191223</v>
      </c>
      <c r="L30" s="13"/>
      <c r="M30" s="37">
        <v>22.11</v>
      </c>
      <c r="N30" s="13"/>
      <c r="O30" s="37"/>
      <c r="P30" s="37"/>
      <c r="Q30" s="37"/>
      <c r="R30" s="14">
        <f t="shared" si="25"/>
        <v>179370.67</v>
      </c>
      <c r="S30" s="13"/>
      <c r="T30" s="13">
        <v>179370.67</v>
      </c>
      <c r="U30" s="13"/>
      <c r="V30" s="13"/>
      <c r="W30" s="13"/>
      <c r="X30" s="37"/>
      <c r="Y30" s="67">
        <f>SUM(Z30:AD30)</f>
        <v>8117.059003051881</v>
      </c>
      <c r="Z30" s="97"/>
      <c r="AA30" s="97">
        <f>AO30/AH30</f>
        <v>8117.059003051881</v>
      </c>
      <c r="AB30" s="97"/>
      <c r="AC30" s="97"/>
      <c r="AD30" s="97"/>
      <c r="AE30" s="97"/>
      <c r="AF30" s="14">
        <f>AM30/Y30</f>
        <v>19.66</v>
      </c>
      <c r="AG30" s="37"/>
      <c r="AH30" s="37">
        <v>19.66</v>
      </c>
      <c r="AI30" s="37"/>
      <c r="AJ30" s="37"/>
      <c r="AK30" s="37"/>
      <c r="AL30" s="37"/>
      <c r="AM30" s="15">
        <f>SUM(AN30:AR30)</f>
        <v>159581.37999999998</v>
      </c>
      <c r="AN30" s="13"/>
      <c r="AO30" s="13">
        <f>159290.27+291.11</f>
        <v>159581.37999999998</v>
      </c>
      <c r="AP30" s="13"/>
      <c r="AQ30" s="13"/>
      <c r="AR30" s="13"/>
      <c r="AS30" s="37"/>
      <c r="AT30" s="15">
        <f>SUM(AU30:AY30)</f>
        <v>19875.990049999997</v>
      </c>
      <c r="AU30" s="37"/>
      <c r="AV30" s="37">
        <f>(M30-AH30)*F30</f>
        <v>19875.990049999997</v>
      </c>
      <c r="AW30" s="37"/>
      <c r="AX30" s="37"/>
      <c r="AY30" s="37"/>
      <c r="AZ30" s="13"/>
    </row>
    <row r="31" spans="1:52" ht="35.25" customHeight="1">
      <c r="A31" s="38"/>
      <c r="B31" s="39" t="s">
        <v>22</v>
      </c>
      <c r="C31" s="40"/>
      <c r="D31" s="75">
        <f t="shared" si="24"/>
        <v>119.9</v>
      </c>
      <c r="E31" s="76"/>
      <c r="F31" s="76"/>
      <c r="G31" s="77">
        <v>119.9</v>
      </c>
      <c r="H31" s="76"/>
      <c r="I31" s="76"/>
      <c r="J31" s="76"/>
      <c r="K31" s="14">
        <f t="shared" si="5"/>
        <v>27.87164303586322</v>
      </c>
      <c r="L31" s="13"/>
      <c r="M31" s="122"/>
      <c r="N31" s="13">
        <v>27.87</v>
      </c>
      <c r="O31" s="13"/>
      <c r="P31" s="13"/>
      <c r="Q31" s="13"/>
      <c r="R31" s="14">
        <f t="shared" si="25"/>
        <v>3341.81</v>
      </c>
      <c r="S31" s="13"/>
      <c r="T31" s="13"/>
      <c r="U31" s="13">
        <v>3341.81</v>
      </c>
      <c r="V31" s="13"/>
      <c r="W31" s="13"/>
      <c r="X31" s="13"/>
      <c r="Y31" s="64">
        <f>SUM(Z31:AD31)</f>
        <v>110.80020181634713</v>
      </c>
      <c r="Z31" s="65"/>
      <c r="AA31" s="65"/>
      <c r="AB31" s="65">
        <f>AP31/AI31</f>
        <v>110.80020181634713</v>
      </c>
      <c r="AC31" s="65"/>
      <c r="AD31" s="65"/>
      <c r="AE31" s="65"/>
      <c r="AF31" s="14">
        <f>AM31/Y31</f>
        <v>19.82</v>
      </c>
      <c r="AG31" s="13"/>
      <c r="AH31" s="13"/>
      <c r="AI31" s="13">
        <v>19.82</v>
      </c>
      <c r="AJ31" s="13"/>
      <c r="AK31" s="13"/>
      <c r="AL31" s="13"/>
      <c r="AM31" s="14">
        <f>SUM(AN31:AR31)</f>
        <v>2196.06</v>
      </c>
      <c r="AN31" s="13"/>
      <c r="AO31" s="13"/>
      <c r="AP31" s="13">
        <v>2196.06</v>
      </c>
      <c r="AQ31" s="13"/>
      <c r="AR31" s="13"/>
      <c r="AS31" s="13"/>
      <c r="AT31" s="15">
        <f>SUM(AU31:AY31)</f>
        <v>965.1950000000002</v>
      </c>
      <c r="AU31" s="37"/>
      <c r="AV31" s="37"/>
      <c r="AW31" s="37">
        <f>(N31-AI31)*G31</f>
        <v>965.1950000000002</v>
      </c>
      <c r="AX31" s="37"/>
      <c r="AY31" s="37"/>
      <c r="AZ31" s="13"/>
    </row>
    <row r="32" spans="1:52" ht="42" customHeight="1">
      <c r="A32" s="9"/>
      <c r="B32" s="43" t="s">
        <v>25</v>
      </c>
      <c r="C32" s="32"/>
      <c r="D32" s="75">
        <f t="shared" si="24"/>
        <v>42258.96</v>
      </c>
      <c r="E32" s="34">
        <v>4249.6</v>
      </c>
      <c r="F32" s="34">
        <v>6344.05</v>
      </c>
      <c r="G32" s="34">
        <v>14439.36</v>
      </c>
      <c r="H32" s="34">
        <v>10896.1</v>
      </c>
      <c r="I32" s="34">
        <v>6329.85</v>
      </c>
      <c r="J32" s="96"/>
      <c r="K32" s="120">
        <f t="shared" si="5"/>
        <v>19.953800330154834</v>
      </c>
      <c r="L32" s="36">
        <v>19.95</v>
      </c>
      <c r="M32" s="36">
        <v>19.95</v>
      </c>
      <c r="N32" s="36">
        <v>19.95</v>
      </c>
      <c r="O32" s="36">
        <v>19.95</v>
      </c>
      <c r="P32" s="36">
        <v>19.95</v>
      </c>
      <c r="Q32" s="36"/>
      <c r="R32" s="14">
        <f t="shared" si="25"/>
        <v>843226.8499999999</v>
      </c>
      <c r="S32" s="36">
        <v>84795.67</v>
      </c>
      <c r="T32" s="36">
        <v>126587.92</v>
      </c>
      <c r="U32" s="36">
        <v>288120.1</v>
      </c>
      <c r="V32" s="36">
        <v>217418.6</v>
      </c>
      <c r="W32" s="36">
        <v>126304.56</v>
      </c>
      <c r="X32" s="36"/>
      <c r="Y32" s="67">
        <f>SUM(Z32:AD32)</f>
        <v>41922.75114026805</v>
      </c>
      <c r="Z32" s="97">
        <f>AN32/AG32</f>
        <v>4220.034079348932</v>
      </c>
      <c r="AA32" s="97">
        <f>AO32/AH32</f>
        <v>6351.709053916582</v>
      </c>
      <c r="AB32" s="97">
        <f>AP32/AI32</f>
        <v>14476.139757820381</v>
      </c>
      <c r="AC32" s="97">
        <f>AQ32/AJ32</f>
        <v>9924.490106544901</v>
      </c>
      <c r="AD32" s="97">
        <f>AR32/AK32</f>
        <v>6950.37814263725</v>
      </c>
      <c r="AE32" s="97"/>
      <c r="AF32" s="121">
        <f t="shared" si="22"/>
        <v>19.698901134538467</v>
      </c>
      <c r="AG32" s="37">
        <v>19.66</v>
      </c>
      <c r="AH32" s="37">
        <v>19.66</v>
      </c>
      <c r="AI32" s="37">
        <v>19.82</v>
      </c>
      <c r="AJ32" s="37">
        <v>19.71</v>
      </c>
      <c r="AK32" s="37">
        <v>19.49</v>
      </c>
      <c r="AL32" s="37"/>
      <c r="AM32" s="15">
        <f>SUM(AN32:AS32)</f>
        <v>825832.13</v>
      </c>
      <c r="AN32" s="36">
        <f>82876.52+89.35</f>
        <v>82965.87000000001</v>
      </c>
      <c r="AO32" s="36">
        <f>68488.24+37153.73+19082.24+150.39</f>
        <v>124874.6</v>
      </c>
      <c r="AP32" s="36">
        <f>107083.04+179834.05</f>
        <v>286917.08999999997</v>
      </c>
      <c r="AQ32" s="36">
        <f>134974.4+43856.05+16772.35+3.75+5.15</f>
        <v>195611.7</v>
      </c>
      <c r="AR32" s="36">
        <f>135217.93+244.94</f>
        <v>135462.87</v>
      </c>
      <c r="AS32" s="37"/>
      <c r="AT32" s="15">
        <f>SUM(AU32:AY32)</f>
        <v>10476.070299999965</v>
      </c>
      <c r="AU32" s="37">
        <f>(L32-AG32)*E32</f>
        <v>1232.3839999999964</v>
      </c>
      <c r="AV32" s="37">
        <f>(M32-AH32)*F32</f>
        <v>1839.7744999999945</v>
      </c>
      <c r="AW32" s="37">
        <f>(N32-AI32)*G32</f>
        <v>1877.1167999999857</v>
      </c>
      <c r="AX32" s="37">
        <f>(O32-AJ32)*H32</f>
        <v>2615.063999999983</v>
      </c>
      <c r="AY32" s="37">
        <f>(P32-AK32)*I32</f>
        <v>2911.7310000000057</v>
      </c>
      <c r="AZ32" s="37"/>
    </row>
    <row r="33" spans="1:52" ht="84" customHeight="1">
      <c r="A33" s="74"/>
      <c r="B33" s="31" t="s">
        <v>27</v>
      </c>
      <c r="C33" s="40"/>
      <c r="D33" s="75">
        <f t="shared" si="24"/>
        <v>20928.739999999998</v>
      </c>
      <c r="E33" s="65">
        <v>4672</v>
      </c>
      <c r="F33" s="65">
        <v>15322.74</v>
      </c>
      <c r="G33" s="76"/>
      <c r="H33" s="76"/>
      <c r="I33" s="76"/>
      <c r="J33" s="65">
        <v>934</v>
      </c>
      <c r="K33" s="14">
        <f t="shared" si="5"/>
        <v>28.65040131417372</v>
      </c>
      <c r="L33" s="13">
        <v>28.65</v>
      </c>
      <c r="M33" s="13">
        <v>28.65</v>
      </c>
      <c r="N33" s="13"/>
      <c r="O33" s="13"/>
      <c r="P33" s="13"/>
      <c r="Q33" s="13">
        <v>28.65</v>
      </c>
      <c r="R33" s="14">
        <f t="shared" si="25"/>
        <v>599616.8</v>
      </c>
      <c r="S33" s="13">
        <v>133854.67</v>
      </c>
      <c r="T33" s="13">
        <v>439002.65</v>
      </c>
      <c r="U33" s="13"/>
      <c r="V33" s="13"/>
      <c r="W33" s="13"/>
      <c r="X33" s="13">
        <v>26759.48</v>
      </c>
      <c r="Y33" s="64">
        <f>SUM(Z33:AE33)</f>
        <v>21013.48961279671</v>
      </c>
      <c r="Z33" s="65">
        <f>AN33/AG33</f>
        <v>4671.944557477111</v>
      </c>
      <c r="AA33" s="65">
        <f>AO33/AH33</f>
        <v>15407.452187182093</v>
      </c>
      <c r="AB33" s="65"/>
      <c r="AC33" s="65"/>
      <c r="AD33" s="65"/>
      <c r="AE33" s="65">
        <f>AS33/AL33</f>
        <v>934.0928681375066</v>
      </c>
      <c r="AF33" s="14">
        <f t="shared" si="22"/>
        <v>19.652443150066482</v>
      </c>
      <c r="AG33" s="13">
        <v>19.66</v>
      </c>
      <c r="AH33" s="13">
        <v>19.66</v>
      </c>
      <c r="AI33" s="13"/>
      <c r="AJ33" s="13"/>
      <c r="AK33" s="13"/>
      <c r="AL33" s="37">
        <v>19.49</v>
      </c>
      <c r="AM33" s="15">
        <f>SUM(AN33:AS33)</f>
        <v>412966.4099999999</v>
      </c>
      <c r="AN33" s="13">
        <f>91850.43</f>
        <v>91850.43</v>
      </c>
      <c r="AO33" s="13">
        <f>237948.4+64239.56+496.76+225.79</f>
        <v>302910.50999999995</v>
      </c>
      <c r="AP33" s="13"/>
      <c r="AQ33" s="13"/>
      <c r="AR33" s="13"/>
      <c r="AS33" s="37">
        <f>18205.47</f>
        <v>18205.47</v>
      </c>
      <c r="AT33" s="14">
        <f>SUM(AU33:AZ33)</f>
        <v>188308.15259999997</v>
      </c>
      <c r="AU33" s="37">
        <f>(L33-AG33)*E33</f>
        <v>42001.27999999999</v>
      </c>
      <c r="AV33" s="37">
        <f>(M33-AH33)*F33</f>
        <v>137751.43259999997</v>
      </c>
      <c r="AW33" s="37"/>
      <c r="AX33" s="37"/>
      <c r="AY33" s="37"/>
      <c r="AZ33" s="37">
        <f>(Q33-AL33)*J33</f>
        <v>8555.44</v>
      </c>
    </row>
    <row r="34" spans="1:52" ht="39.75" customHeight="1">
      <c r="A34" s="38"/>
      <c r="B34" s="39" t="s">
        <v>23</v>
      </c>
      <c r="C34" s="40"/>
      <c r="D34" s="75">
        <f t="shared" si="24"/>
        <v>759.333</v>
      </c>
      <c r="E34" s="76"/>
      <c r="F34" s="65">
        <v>759.333</v>
      </c>
      <c r="G34" s="76"/>
      <c r="H34" s="76"/>
      <c r="I34" s="76"/>
      <c r="J34" s="76"/>
      <c r="K34" s="14">
        <f t="shared" si="5"/>
        <v>21.08659836988515</v>
      </c>
      <c r="L34" s="13"/>
      <c r="M34" s="13">
        <v>21.09</v>
      </c>
      <c r="N34" s="13"/>
      <c r="O34" s="37"/>
      <c r="P34" s="37"/>
      <c r="Q34" s="37"/>
      <c r="R34" s="14">
        <f t="shared" si="25"/>
        <v>16011.75</v>
      </c>
      <c r="S34" s="13"/>
      <c r="T34" s="13">
        <v>16011.75</v>
      </c>
      <c r="U34" s="13"/>
      <c r="V34" s="13"/>
      <c r="W34" s="13"/>
      <c r="X34" s="13"/>
      <c r="Y34" s="67">
        <f>SUM(Z34:AD34)</f>
        <v>759.3336724313326</v>
      </c>
      <c r="Z34" s="97"/>
      <c r="AA34" s="97">
        <f>AO34/AH34</f>
        <v>759.3336724313326</v>
      </c>
      <c r="AB34" s="97"/>
      <c r="AC34" s="97"/>
      <c r="AD34" s="97"/>
      <c r="AE34" s="97"/>
      <c r="AF34" s="14">
        <f t="shared" si="22"/>
        <v>19.66</v>
      </c>
      <c r="AG34" s="37"/>
      <c r="AH34" s="37">
        <v>19.66</v>
      </c>
      <c r="AI34" s="37"/>
      <c r="AJ34" s="37"/>
      <c r="AK34" s="37"/>
      <c r="AL34" s="37"/>
      <c r="AM34" s="15">
        <f>SUM(AN34:AR34)</f>
        <v>14928.5</v>
      </c>
      <c r="AN34" s="13"/>
      <c r="AO34" s="13">
        <f>14744.58+183.92</f>
        <v>14928.5</v>
      </c>
      <c r="AP34" s="13"/>
      <c r="AQ34" s="13"/>
      <c r="AR34" s="13"/>
      <c r="AS34" s="37"/>
      <c r="AT34" s="14">
        <f>SUM(AU34:AZ34)</f>
        <v>1085.8461899999998</v>
      </c>
      <c r="AU34" s="37"/>
      <c r="AV34" s="37">
        <f>(M34-AH34)*F34</f>
        <v>1085.8461899999998</v>
      </c>
      <c r="AW34" s="37"/>
      <c r="AX34" s="37"/>
      <c r="AY34" s="37"/>
      <c r="AZ34" s="13"/>
    </row>
    <row r="35" spans="1:52" ht="39.75" customHeight="1">
      <c r="A35" s="38"/>
      <c r="B35" s="39" t="s">
        <v>44</v>
      </c>
      <c r="C35" s="40"/>
      <c r="D35" s="75">
        <f t="shared" si="24"/>
        <v>0</v>
      </c>
      <c r="E35" s="76"/>
      <c r="F35" s="76"/>
      <c r="G35" s="76"/>
      <c r="H35" s="76">
        <f>V35/O35</f>
        <v>0</v>
      </c>
      <c r="I35" s="76"/>
      <c r="J35" s="76"/>
      <c r="K35" s="14" t="e">
        <f t="shared" si="5"/>
        <v>#DIV/0!</v>
      </c>
      <c r="L35" s="13"/>
      <c r="M35" s="37"/>
      <c r="N35" s="13"/>
      <c r="O35" s="37">
        <v>34.89</v>
      </c>
      <c r="P35" s="37"/>
      <c r="Q35" s="37"/>
      <c r="R35" s="14">
        <f t="shared" si="25"/>
        <v>0</v>
      </c>
      <c r="S35" s="13"/>
      <c r="T35" s="13"/>
      <c r="U35" s="13"/>
      <c r="V35" s="13"/>
      <c r="W35" s="13"/>
      <c r="X35" s="37"/>
      <c r="Y35" s="67">
        <f>SUM(Z35:AD35)</f>
        <v>-35.952815829528156</v>
      </c>
      <c r="Z35" s="97"/>
      <c r="AA35" s="97"/>
      <c r="AB35" s="97"/>
      <c r="AC35" s="97">
        <f>AQ35/AJ35</f>
        <v>-35.952815829528156</v>
      </c>
      <c r="AD35" s="97"/>
      <c r="AE35" s="97"/>
      <c r="AF35" s="14">
        <f t="shared" si="22"/>
        <v>19.71</v>
      </c>
      <c r="AG35" s="37"/>
      <c r="AH35" s="37"/>
      <c r="AI35" s="37"/>
      <c r="AJ35" s="37">
        <v>19.71</v>
      </c>
      <c r="AK35" s="37"/>
      <c r="AL35" s="37"/>
      <c r="AM35" s="15">
        <f>SUM(AN35:AR35)</f>
        <v>-708.63</v>
      </c>
      <c r="AN35" s="13"/>
      <c r="AO35" s="13"/>
      <c r="AP35" s="13"/>
      <c r="AQ35" s="13">
        <f>-708.63</f>
        <v>-708.63</v>
      </c>
      <c r="AR35" s="13"/>
      <c r="AS35" s="37"/>
      <c r="AT35" s="14">
        <f>SUM(AU35:AZ35)</f>
        <v>0</v>
      </c>
      <c r="AU35" s="37"/>
      <c r="AV35" s="37"/>
      <c r="AW35" s="37"/>
      <c r="AX35" s="37"/>
      <c r="AY35" s="37"/>
      <c r="AZ35" s="13"/>
    </row>
    <row r="36" spans="1:52" ht="43.5" customHeight="1" thickBot="1">
      <c r="A36" s="78"/>
      <c r="B36" s="79" t="s">
        <v>26</v>
      </c>
      <c r="C36" s="80"/>
      <c r="D36" s="75">
        <f t="shared" si="24"/>
        <v>908.56</v>
      </c>
      <c r="E36" s="81"/>
      <c r="F36" s="81"/>
      <c r="G36" s="81"/>
      <c r="H36" s="81"/>
      <c r="I36" s="34">
        <v>908.56</v>
      </c>
      <c r="J36" s="96"/>
      <c r="K36" s="82">
        <f t="shared" si="5"/>
        <v>26.77420313463063</v>
      </c>
      <c r="L36" s="83"/>
      <c r="M36" s="83"/>
      <c r="N36" s="83"/>
      <c r="O36" s="83"/>
      <c r="P36" s="84">
        <v>26.77</v>
      </c>
      <c r="Q36" s="84"/>
      <c r="R36" s="14">
        <f t="shared" si="25"/>
        <v>24325.97</v>
      </c>
      <c r="S36" s="83"/>
      <c r="T36" s="83"/>
      <c r="U36" s="83"/>
      <c r="V36" s="83"/>
      <c r="W36" s="83">
        <v>24325.97</v>
      </c>
      <c r="X36" s="84"/>
      <c r="Y36" s="87">
        <f>SUM(Z36:AD36)</f>
        <v>908.5597742432018</v>
      </c>
      <c r="Z36" s="99"/>
      <c r="AA36" s="99"/>
      <c r="AB36" s="99"/>
      <c r="AC36" s="99"/>
      <c r="AD36" s="99">
        <f>AR36/AK36</f>
        <v>908.5597742432018</v>
      </c>
      <c r="AE36" s="99"/>
      <c r="AF36" s="85">
        <f t="shared" si="22"/>
        <v>19.49</v>
      </c>
      <c r="AG36" s="84"/>
      <c r="AH36" s="84"/>
      <c r="AI36" s="84"/>
      <c r="AJ36" s="84"/>
      <c r="AK36" s="84">
        <v>19.49</v>
      </c>
      <c r="AL36" s="84"/>
      <c r="AM36" s="86">
        <f>SUM(AN36:AR36)</f>
        <v>17707.83</v>
      </c>
      <c r="AN36" s="83"/>
      <c r="AO36" s="83"/>
      <c r="AP36" s="83"/>
      <c r="AQ36" s="83"/>
      <c r="AR36" s="83">
        <v>17707.83</v>
      </c>
      <c r="AS36" s="84"/>
      <c r="AT36" s="14">
        <f>SUM(AU36:AZ36)</f>
        <v>6614.3168000000005</v>
      </c>
      <c r="AU36" s="36"/>
      <c r="AV36" s="36"/>
      <c r="AW36" s="36"/>
      <c r="AX36" s="36"/>
      <c r="AY36" s="37">
        <f>(P36-AK36)*I36</f>
        <v>6614.3168000000005</v>
      </c>
      <c r="AZ36" s="50"/>
    </row>
    <row r="37" spans="1:65" s="29" customFormat="1" ht="36.75" customHeight="1" thickBot="1">
      <c r="A37" s="23">
        <v>4</v>
      </c>
      <c r="B37" s="24" t="s">
        <v>3</v>
      </c>
      <c r="C37" s="24" t="s">
        <v>5</v>
      </c>
      <c r="D37" s="27">
        <f aca="true" t="shared" si="26" ref="D37:J37">SUM(D38:D45)</f>
        <v>88362.475</v>
      </c>
      <c r="E37" s="27">
        <f t="shared" si="26"/>
        <v>9449.7</v>
      </c>
      <c r="F37" s="27">
        <f t="shared" si="26"/>
        <v>37539.489</v>
      </c>
      <c r="G37" s="27">
        <f t="shared" si="26"/>
        <v>19503.920000000002</v>
      </c>
      <c r="H37" s="27">
        <f t="shared" si="26"/>
        <v>9520.48</v>
      </c>
      <c r="I37" s="27">
        <f t="shared" si="26"/>
        <v>12348.885999999999</v>
      </c>
      <c r="J37" s="27">
        <f t="shared" si="26"/>
        <v>0</v>
      </c>
      <c r="K37" s="28">
        <f t="shared" si="5"/>
        <v>25.58134671986044</v>
      </c>
      <c r="L37" s="28">
        <f>S37/E37</f>
        <v>23.951123316084107</v>
      </c>
      <c r="M37" s="28">
        <f>T37/F37</f>
        <v>33.66605709523643</v>
      </c>
      <c r="N37" s="28">
        <f>U37/G37</f>
        <v>19.202940742168753</v>
      </c>
      <c r="O37" s="28">
        <f>V37/H37</f>
        <v>17.012792422230813</v>
      </c>
      <c r="P37" s="28">
        <f>W37/I37</f>
        <v>18.932155499694467</v>
      </c>
      <c r="Q37" s="28"/>
      <c r="R37" s="27">
        <f aca="true" t="shared" si="27" ref="R37:AE37">SUM(R38:R45)</f>
        <v>2260431.1100000003</v>
      </c>
      <c r="S37" s="61">
        <f t="shared" si="27"/>
        <v>226330.93</v>
      </c>
      <c r="T37" s="61">
        <f t="shared" si="27"/>
        <v>1263806.58</v>
      </c>
      <c r="U37" s="61">
        <f t="shared" si="27"/>
        <v>374532.62</v>
      </c>
      <c r="V37" s="61">
        <f t="shared" si="27"/>
        <v>161969.95</v>
      </c>
      <c r="W37" s="61">
        <f t="shared" si="27"/>
        <v>233791.03</v>
      </c>
      <c r="X37" s="61">
        <f t="shared" si="27"/>
        <v>0</v>
      </c>
      <c r="Y37" s="59">
        <f t="shared" si="27"/>
        <v>89689.39086120386</v>
      </c>
      <c r="Z37" s="59">
        <f t="shared" si="27"/>
        <v>9771.112280701753</v>
      </c>
      <c r="AA37" s="59">
        <f t="shared" si="27"/>
        <v>37516.244</v>
      </c>
      <c r="AB37" s="59">
        <f t="shared" si="27"/>
        <v>19566.87752118959</v>
      </c>
      <c r="AC37" s="59">
        <f t="shared" si="27"/>
        <v>9901.070937875098</v>
      </c>
      <c r="AD37" s="59">
        <f t="shared" si="27"/>
        <v>12934.086121437422</v>
      </c>
      <c r="AE37" s="59">
        <f t="shared" si="27"/>
        <v>0</v>
      </c>
      <c r="AF37" s="86">
        <f t="shared" si="22"/>
        <v>16.711208935730774</v>
      </c>
      <c r="AG37" s="101">
        <f>AN37/Z37</f>
        <v>17.100000000000005</v>
      </c>
      <c r="AH37" s="101">
        <f>AO37/AA37</f>
        <v>17.37999278392581</v>
      </c>
      <c r="AI37" s="101">
        <f>AP37/AB37</f>
        <v>16.450490358076852</v>
      </c>
      <c r="AJ37" s="101">
        <f>AQ37/AC37</f>
        <v>15.054856281232755</v>
      </c>
      <c r="AK37" s="27">
        <f>AR37/AD37</f>
        <v>16.14</v>
      </c>
      <c r="AL37" s="27"/>
      <c r="AM37" s="27">
        <f aca="true" t="shared" si="28" ref="AM37:AZ37">SUM(AM38:AM45)</f>
        <v>1498818.15</v>
      </c>
      <c r="AN37" s="27">
        <f t="shared" si="28"/>
        <v>167086.02000000002</v>
      </c>
      <c r="AO37" s="27">
        <f t="shared" si="28"/>
        <v>652032.05</v>
      </c>
      <c r="AP37" s="27">
        <f t="shared" si="28"/>
        <v>321884.73000000004</v>
      </c>
      <c r="AQ37" s="27">
        <f t="shared" si="28"/>
        <v>149059.2</v>
      </c>
      <c r="AR37" s="27">
        <f t="shared" si="28"/>
        <v>208756.15</v>
      </c>
      <c r="AS37" s="27">
        <f t="shared" si="28"/>
        <v>0</v>
      </c>
      <c r="AT37" s="118">
        <f t="shared" si="28"/>
        <v>782518.5185400001</v>
      </c>
      <c r="AU37" s="27">
        <f t="shared" si="28"/>
        <v>64690.95799999999</v>
      </c>
      <c r="AV37" s="27">
        <f t="shared" si="28"/>
        <v>611286.88236</v>
      </c>
      <c r="AW37" s="27">
        <f t="shared" si="28"/>
        <v>53628.923</v>
      </c>
      <c r="AX37" s="27">
        <f t="shared" si="28"/>
        <v>18450.8114</v>
      </c>
      <c r="AY37" s="27">
        <f t="shared" si="28"/>
        <v>34460.943779999994</v>
      </c>
      <c r="AZ37" s="27">
        <f t="shared" si="28"/>
        <v>0</v>
      </c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</row>
    <row r="38" spans="1:52" s="4" customFormat="1" ht="56.25" customHeight="1">
      <c r="A38" s="123"/>
      <c r="B38" s="124" t="s">
        <v>39</v>
      </c>
      <c r="C38" s="72"/>
      <c r="D38" s="63">
        <f>SUM(E38:I38)</f>
        <v>14284.909</v>
      </c>
      <c r="E38" s="37"/>
      <c r="F38" s="37">
        <v>14284.909</v>
      </c>
      <c r="G38" s="37"/>
      <c r="H38" s="37"/>
      <c r="I38" s="37"/>
      <c r="J38" s="37"/>
      <c r="K38" s="63">
        <f t="shared" si="5"/>
        <v>40.220001401479</v>
      </c>
      <c r="L38" s="73"/>
      <c r="M38" s="73">
        <v>40.22</v>
      </c>
      <c r="N38" s="73"/>
      <c r="O38" s="73"/>
      <c r="P38" s="73"/>
      <c r="Q38" s="37"/>
      <c r="R38" s="15">
        <f>SUM(S38:W38)</f>
        <v>574539.06</v>
      </c>
      <c r="S38" s="13"/>
      <c r="T38" s="13">
        <v>574539.06</v>
      </c>
      <c r="U38" s="13"/>
      <c r="V38" s="13"/>
      <c r="W38" s="13"/>
      <c r="X38" s="13"/>
      <c r="Y38" s="67">
        <f>SUM(Z38:AD38)</f>
        <v>14251.672</v>
      </c>
      <c r="Z38" s="97"/>
      <c r="AA38" s="97">
        <f>ROUND(AO38/AH38,3)</f>
        <v>14251.672</v>
      </c>
      <c r="AB38" s="97"/>
      <c r="AC38" s="97"/>
      <c r="AD38" s="97"/>
      <c r="AE38" s="97"/>
      <c r="AF38" s="14">
        <f>AM38/Y38</f>
        <v>17.38000004490701</v>
      </c>
      <c r="AG38" s="37"/>
      <c r="AH38" s="37">
        <v>17.38</v>
      </c>
      <c r="AI38" s="13"/>
      <c r="AJ38" s="13"/>
      <c r="AK38" s="13"/>
      <c r="AL38" s="37"/>
      <c r="AM38" s="15">
        <f>SUM(AN38:AR38)</f>
        <v>247694.06</v>
      </c>
      <c r="AN38" s="13"/>
      <c r="AO38" s="13">
        <f>12067.23+235626.83</f>
        <v>247694.06</v>
      </c>
      <c r="AP38" s="13"/>
      <c r="AQ38" s="13"/>
      <c r="AR38" s="13"/>
      <c r="AS38" s="13"/>
      <c r="AT38" s="15">
        <f>SUM(AU38:AY38)</f>
        <v>326267.32156</v>
      </c>
      <c r="AU38" s="37"/>
      <c r="AV38" s="37">
        <f>(M38-AH38)*F38</f>
        <v>326267.32156</v>
      </c>
      <c r="AW38" s="37"/>
      <c r="AX38" s="37"/>
      <c r="AY38" s="37"/>
      <c r="AZ38" s="13"/>
    </row>
    <row r="39" spans="1:52" ht="45.75" customHeight="1">
      <c r="A39" s="38"/>
      <c r="B39" s="39" t="s">
        <v>24</v>
      </c>
      <c r="C39" s="40"/>
      <c r="D39" s="14">
        <f>SUM(E39:I39)</f>
        <v>685.7</v>
      </c>
      <c r="E39" s="13"/>
      <c r="F39" s="13"/>
      <c r="G39" s="13">
        <v>685.7</v>
      </c>
      <c r="H39" s="13"/>
      <c r="I39" s="13"/>
      <c r="J39" s="13"/>
      <c r="K39" s="14">
        <f t="shared" si="5"/>
        <v>27.74181128773516</v>
      </c>
      <c r="L39" s="13"/>
      <c r="M39" s="13"/>
      <c r="N39" s="13">
        <v>27.74</v>
      </c>
      <c r="O39" s="13"/>
      <c r="P39" s="13"/>
      <c r="Q39" s="13"/>
      <c r="R39" s="14">
        <f>SUM(S39:W39)</f>
        <v>19022.56</v>
      </c>
      <c r="S39" s="13"/>
      <c r="T39" s="13"/>
      <c r="U39" s="13">
        <v>19022.56</v>
      </c>
      <c r="V39" s="13"/>
      <c r="W39" s="13"/>
      <c r="X39" s="13"/>
      <c r="Y39" s="64">
        <f>SUM(Z39:AD39)</f>
        <v>781.2028</v>
      </c>
      <c r="Z39" s="65">
        <f>AN39/AG39</f>
        <v>95.49999999999999</v>
      </c>
      <c r="AA39" s="65"/>
      <c r="AB39" s="65">
        <f>AP39/AI39</f>
        <v>685.7028</v>
      </c>
      <c r="AC39" s="65"/>
      <c r="AD39" s="65"/>
      <c r="AE39" s="97"/>
      <c r="AF39" s="14">
        <f>AM39/Y39</f>
        <v>24.03424565298537</v>
      </c>
      <c r="AG39" s="127">
        <v>17.1</v>
      </c>
      <c r="AH39" s="13"/>
      <c r="AI39" s="127">
        <v>25</v>
      </c>
      <c r="AJ39" s="13"/>
      <c r="AK39" s="13"/>
      <c r="AL39" s="13"/>
      <c r="AM39" s="14">
        <f>SUM(AN39:AR39)</f>
        <v>18775.62</v>
      </c>
      <c r="AN39" s="13">
        <v>1633.05</v>
      </c>
      <c r="AO39" s="13"/>
      <c r="AP39" s="13">
        <f>7264.73+9877.84</f>
        <v>17142.57</v>
      </c>
      <c r="AQ39" s="13"/>
      <c r="AR39" s="13"/>
      <c r="AS39" s="13"/>
      <c r="AT39" s="15">
        <f>SUM(AU39:AY39)</f>
        <v>1878.817999999999</v>
      </c>
      <c r="AU39" s="37"/>
      <c r="AV39" s="37"/>
      <c r="AW39" s="37">
        <f>(N39-AI39)*G39</f>
        <v>1878.817999999999</v>
      </c>
      <c r="AX39" s="37"/>
      <c r="AY39" s="37"/>
      <c r="AZ39" s="13"/>
    </row>
    <row r="40" spans="1:52" ht="46.5" customHeight="1">
      <c r="A40" s="9"/>
      <c r="B40" s="43" t="s">
        <v>25</v>
      </c>
      <c r="C40" s="10"/>
      <c r="D40" s="15">
        <f aca="true" t="shared" si="29" ref="D40:D45">SUM(E40:I40)</f>
        <v>41588.53</v>
      </c>
      <c r="E40" s="34">
        <v>4111.6</v>
      </c>
      <c r="F40" s="34">
        <v>1117.08</v>
      </c>
      <c r="G40" s="34">
        <v>18818.22</v>
      </c>
      <c r="H40" s="34">
        <v>6512.5</v>
      </c>
      <c r="I40" s="34">
        <v>11029.13</v>
      </c>
      <c r="J40" s="96"/>
      <c r="K40" s="120">
        <f t="shared" si="5"/>
        <v>18.891800215107384</v>
      </c>
      <c r="L40" s="37">
        <v>18.89</v>
      </c>
      <c r="M40" s="37">
        <v>18.89</v>
      </c>
      <c r="N40" s="37">
        <v>18.89</v>
      </c>
      <c r="O40" s="37">
        <v>18.89</v>
      </c>
      <c r="P40" s="37">
        <v>18.89</v>
      </c>
      <c r="Q40" s="37"/>
      <c r="R40" s="15">
        <f aca="true" t="shared" si="30" ref="R40:R45">SUM(S40:W40)</f>
        <v>785682.2</v>
      </c>
      <c r="S40" s="37">
        <v>77675.52</v>
      </c>
      <c r="T40" s="37">
        <v>21103.65</v>
      </c>
      <c r="U40" s="37">
        <v>355510.06</v>
      </c>
      <c r="V40" s="37">
        <v>123032.85</v>
      </c>
      <c r="W40" s="37">
        <v>208360.12</v>
      </c>
      <c r="X40" s="37"/>
      <c r="Y40" s="67">
        <f aca="true" t="shared" si="31" ref="Y40:Y45">SUM(Z40:AD40)</f>
        <v>42654.0617451249</v>
      </c>
      <c r="Z40" s="97">
        <f>AN40/AG40</f>
        <v>4337.480701754385</v>
      </c>
      <c r="AA40" s="97">
        <f>ROUND(AO40/AH40,3)</f>
        <v>1127.086</v>
      </c>
      <c r="AB40" s="97">
        <f>AP40/AI40</f>
        <v>18881.174721189593</v>
      </c>
      <c r="AC40" s="97">
        <f>AQ40/AJ40</f>
        <v>6693.98946716233</v>
      </c>
      <c r="AD40" s="97">
        <f>AR40/AK40</f>
        <v>11614.330855018587</v>
      </c>
      <c r="AE40" s="97"/>
      <c r="AF40" s="15">
        <f t="shared" si="22"/>
        <v>16.270387663123778</v>
      </c>
      <c r="AG40" s="37">
        <v>17.1</v>
      </c>
      <c r="AH40" s="37">
        <v>17.38</v>
      </c>
      <c r="AI40" s="37">
        <v>16.14</v>
      </c>
      <c r="AJ40" s="37">
        <v>16.14</v>
      </c>
      <c r="AK40" s="37">
        <v>16.14</v>
      </c>
      <c r="AL40" s="37"/>
      <c r="AM40" s="15">
        <f aca="true" t="shared" si="32" ref="AM40:AM45">SUM(AN40:AR40)</f>
        <v>693998.12</v>
      </c>
      <c r="AN40" s="37">
        <f>74170.92</f>
        <v>74170.92</v>
      </c>
      <c r="AO40" s="37">
        <f>2902+173.8+16512.95</f>
        <v>19588.75</v>
      </c>
      <c r="AP40" s="37">
        <f>13316.48+63201.38+85175.29+143049.01</f>
        <v>304742.16000000003</v>
      </c>
      <c r="AQ40" s="37">
        <f>108040.99</f>
        <v>108040.99</v>
      </c>
      <c r="AR40" s="37">
        <f>66347.45+121107.85</f>
        <v>187455.3</v>
      </c>
      <c r="AS40" s="37"/>
      <c r="AT40" s="15">
        <f aca="true" t="shared" si="33" ref="AT40:AT45">SUM(AU40:AY40)</f>
        <v>109036.14229999999</v>
      </c>
      <c r="AU40" s="37">
        <f>(L40-AG40)*E40</f>
        <v>7359.763999999997</v>
      </c>
      <c r="AV40" s="37">
        <f>(M40-AH40)*F40</f>
        <v>1686.7908000000016</v>
      </c>
      <c r="AW40" s="37">
        <f>(N40-AI40)*G40</f>
        <v>51750.105</v>
      </c>
      <c r="AX40" s="37">
        <f>(O40-AJ40)*H40</f>
        <v>17909.375</v>
      </c>
      <c r="AY40" s="37">
        <f>(P40-AK40)*I40</f>
        <v>30330.1075</v>
      </c>
      <c r="AZ40" s="37"/>
    </row>
    <row r="41" spans="1:52" ht="47.25" customHeight="1">
      <c r="A41" s="38"/>
      <c r="B41" s="43" t="s">
        <v>29</v>
      </c>
      <c r="C41" s="10"/>
      <c r="D41" s="15">
        <f t="shared" si="29"/>
        <v>3007.98</v>
      </c>
      <c r="E41" s="13"/>
      <c r="F41" s="13"/>
      <c r="G41" s="13"/>
      <c r="H41" s="65">
        <v>3007.98</v>
      </c>
      <c r="I41" s="13"/>
      <c r="J41" s="13"/>
      <c r="K41" s="14">
        <f t="shared" si="5"/>
        <v>12.944600695483347</v>
      </c>
      <c r="L41" s="37"/>
      <c r="M41" s="37"/>
      <c r="N41" s="37"/>
      <c r="O41" s="37">
        <v>12.94</v>
      </c>
      <c r="P41" s="37"/>
      <c r="Q41" s="37"/>
      <c r="R41" s="15">
        <f t="shared" si="30"/>
        <v>38937.1</v>
      </c>
      <c r="S41" s="13"/>
      <c r="T41" s="13"/>
      <c r="U41" s="13"/>
      <c r="V41" s="13">
        <v>38937.1</v>
      </c>
      <c r="W41" s="13"/>
      <c r="X41" s="37"/>
      <c r="Y41" s="67">
        <f t="shared" si="31"/>
        <v>3178.723354231975</v>
      </c>
      <c r="Z41" s="97"/>
      <c r="AA41" s="65"/>
      <c r="AB41" s="97"/>
      <c r="AC41" s="97">
        <f>AQ41/AJ41</f>
        <v>3178.723354231975</v>
      </c>
      <c r="AD41" s="97"/>
      <c r="AE41" s="97"/>
      <c r="AF41" s="14">
        <f t="shared" si="22"/>
        <v>12.76</v>
      </c>
      <c r="AG41" s="37"/>
      <c r="AH41" s="37"/>
      <c r="AI41" s="13"/>
      <c r="AJ41" s="13">
        <v>12.76</v>
      </c>
      <c r="AK41" s="13"/>
      <c r="AL41" s="37"/>
      <c r="AM41" s="15">
        <f t="shared" si="32"/>
        <v>40560.51</v>
      </c>
      <c r="AN41" s="13"/>
      <c r="AO41" s="13"/>
      <c r="AP41" s="13"/>
      <c r="AQ41" s="13">
        <f>939.4+27026.37+12594.74</f>
        <v>40560.51</v>
      </c>
      <c r="AR41" s="13"/>
      <c r="AS41" s="37"/>
      <c r="AT41" s="15">
        <f t="shared" si="33"/>
        <v>541.4363999999991</v>
      </c>
      <c r="AU41" s="37"/>
      <c r="AV41" s="37"/>
      <c r="AW41" s="37"/>
      <c r="AX41" s="37">
        <f>(O41-AJ41)*H41</f>
        <v>541.4363999999991</v>
      </c>
      <c r="AY41" s="37"/>
      <c r="AZ41" s="13"/>
    </row>
    <row r="42" spans="1:52" s="4" customFormat="1" ht="39.75" customHeight="1">
      <c r="A42" s="66"/>
      <c r="B42" s="39" t="s">
        <v>44</v>
      </c>
      <c r="C42" s="39"/>
      <c r="D42" s="15">
        <f>SUM(E42:I42)</f>
        <v>0</v>
      </c>
      <c r="E42" s="37"/>
      <c r="F42" s="37"/>
      <c r="G42" s="37"/>
      <c r="H42" s="37">
        <f>V42/O42</f>
        <v>0</v>
      </c>
      <c r="I42" s="37"/>
      <c r="J42" s="37"/>
      <c r="K42" s="14" t="e">
        <f t="shared" si="5"/>
        <v>#DIV/0!</v>
      </c>
      <c r="L42" s="13"/>
      <c r="M42" s="37"/>
      <c r="N42" s="13"/>
      <c r="O42" s="37">
        <v>22.4</v>
      </c>
      <c r="P42" s="37"/>
      <c r="Q42" s="37"/>
      <c r="R42" s="15">
        <f>SUM(S42:W42)</f>
        <v>0</v>
      </c>
      <c r="S42" s="13"/>
      <c r="T42" s="13"/>
      <c r="U42" s="13"/>
      <c r="V42" s="13"/>
      <c r="W42" s="13"/>
      <c r="X42" s="37"/>
      <c r="Y42" s="67">
        <f>SUM(Z42:AD42)</f>
        <v>28.35811648079306</v>
      </c>
      <c r="Z42" s="97"/>
      <c r="AA42" s="97"/>
      <c r="AB42" s="97"/>
      <c r="AC42" s="97">
        <f>AQ42/AJ42</f>
        <v>28.35811648079306</v>
      </c>
      <c r="AD42" s="97"/>
      <c r="AE42" s="97"/>
      <c r="AF42" s="14">
        <f>AM42/Y42</f>
        <v>16.14</v>
      </c>
      <c r="AG42" s="37"/>
      <c r="AH42" s="37"/>
      <c r="AI42" s="13"/>
      <c r="AJ42" s="13">
        <v>16.14</v>
      </c>
      <c r="AK42" s="13"/>
      <c r="AL42" s="37"/>
      <c r="AM42" s="15">
        <f>SUM(AN42:AR42)</f>
        <v>457.70000000000005</v>
      </c>
      <c r="AN42" s="13"/>
      <c r="AO42" s="13"/>
      <c r="AP42" s="13"/>
      <c r="AQ42" s="13">
        <f>1037.95-580.25</f>
        <v>457.70000000000005</v>
      </c>
      <c r="AR42" s="13"/>
      <c r="AS42" s="37"/>
      <c r="AT42" s="15">
        <f>SUM(AU42:AY42)</f>
        <v>0</v>
      </c>
      <c r="AU42" s="37"/>
      <c r="AV42" s="37"/>
      <c r="AW42" s="37"/>
      <c r="AX42" s="37"/>
      <c r="AY42" s="37"/>
      <c r="AZ42" s="13"/>
    </row>
    <row r="43" spans="1:52" ht="43.5" customHeight="1">
      <c r="A43" s="66"/>
      <c r="B43" s="39" t="s">
        <v>26</v>
      </c>
      <c r="C43" s="39"/>
      <c r="D43" s="64">
        <f>SUM(E43:I43)</f>
        <v>1319.756</v>
      </c>
      <c r="E43" s="125"/>
      <c r="F43" s="125"/>
      <c r="G43" s="125"/>
      <c r="H43" s="125"/>
      <c r="I43" s="37">
        <v>1319.756</v>
      </c>
      <c r="J43" s="13"/>
      <c r="K43" s="126">
        <f t="shared" si="5"/>
        <v>19.269402829007785</v>
      </c>
      <c r="L43" s="13"/>
      <c r="M43" s="13"/>
      <c r="N43" s="13"/>
      <c r="O43" s="13"/>
      <c r="P43" s="13">
        <v>19.27</v>
      </c>
      <c r="Q43" s="13"/>
      <c r="R43" s="14">
        <f>SUM(S43:W43)</f>
        <v>25430.91</v>
      </c>
      <c r="S43" s="13"/>
      <c r="T43" s="13"/>
      <c r="U43" s="13"/>
      <c r="V43" s="13"/>
      <c r="W43" s="13">
        <v>25430.91</v>
      </c>
      <c r="X43" s="13"/>
      <c r="Y43" s="64">
        <f>SUM(Z43:AD43)</f>
        <v>1319.7552664188352</v>
      </c>
      <c r="Z43" s="65"/>
      <c r="AA43" s="65"/>
      <c r="AB43" s="65"/>
      <c r="AC43" s="65"/>
      <c r="AD43" s="65">
        <f>AR43/AK43</f>
        <v>1319.7552664188352</v>
      </c>
      <c r="AE43" s="65"/>
      <c r="AF43" s="14">
        <f>AM43/Y43</f>
        <v>16.14</v>
      </c>
      <c r="AG43" s="13"/>
      <c r="AH43" s="13"/>
      <c r="AI43" s="13"/>
      <c r="AJ43" s="13"/>
      <c r="AK43" s="13">
        <v>16.14</v>
      </c>
      <c r="AL43" s="13"/>
      <c r="AM43" s="14">
        <f>SUM(AN43:AR43)</f>
        <v>21300.85</v>
      </c>
      <c r="AN43" s="13"/>
      <c r="AO43" s="13"/>
      <c r="AP43" s="13"/>
      <c r="AQ43" s="13"/>
      <c r="AR43" s="13">
        <f>7934.42+13366.43</f>
        <v>21300.85</v>
      </c>
      <c r="AS43" s="13"/>
      <c r="AT43" s="14">
        <f>SUM(AU43:AY43)</f>
        <v>4130.836279999999</v>
      </c>
      <c r="AU43" s="37"/>
      <c r="AV43" s="37"/>
      <c r="AW43" s="37"/>
      <c r="AX43" s="37"/>
      <c r="AY43" s="37">
        <f>(P43-AK43)*I43</f>
        <v>4130.836279999999</v>
      </c>
      <c r="AZ43" s="13"/>
    </row>
    <row r="44" spans="1:52" ht="81.75" customHeight="1">
      <c r="A44" s="9"/>
      <c r="B44" s="43" t="s">
        <v>27</v>
      </c>
      <c r="C44" s="10"/>
      <c r="D44" s="15">
        <f t="shared" si="29"/>
        <v>9744.6</v>
      </c>
      <c r="E44" s="97">
        <v>5338.1</v>
      </c>
      <c r="F44" s="97">
        <v>4406.5</v>
      </c>
      <c r="G44" s="37"/>
      <c r="H44" s="37"/>
      <c r="I44" s="37"/>
      <c r="J44" s="37"/>
      <c r="K44" s="15">
        <f t="shared" si="5"/>
        <v>27.84799991790325</v>
      </c>
      <c r="L44" s="37">
        <v>27.84</v>
      </c>
      <c r="M44" s="37">
        <v>27.84</v>
      </c>
      <c r="N44" s="37"/>
      <c r="O44" s="37"/>
      <c r="P44" s="37"/>
      <c r="Q44" s="37"/>
      <c r="R44" s="15">
        <f t="shared" si="30"/>
        <v>271367.62</v>
      </c>
      <c r="S44" s="37">
        <v>148655.41</v>
      </c>
      <c r="T44" s="37">
        <v>122712.21</v>
      </c>
      <c r="U44" s="37"/>
      <c r="V44" s="37"/>
      <c r="W44" s="37"/>
      <c r="X44" s="37"/>
      <c r="Y44" s="67">
        <f t="shared" si="31"/>
        <v>9744.617578947367</v>
      </c>
      <c r="Z44" s="97">
        <f>AN44/AG44</f>
        <v>5338.131578947368</v>
      </c>
      <c r="AA44" s="97">
        <f>ROUND(AO44/AH44,3)</f>
        <v>4406.486</v>
      </c>
      <c r="AB44" s="97"/>
      <c r="AC44" s="97"/>
      <c r="AD44" s="97"/>
      <c r="AE44" s="97"/>
      <c r="AF44" s="15">
        <f t="shared" si="22"/>
        <v>17.226614450490658</v>
      </c>
      <c r="AG44" s="37">
        <v>17.1</v>
      </c>
      <c r="AH44" s="37">
        <v>17.38</v>
      </c>
      <c r="AI44" s="37"/>
      <c r="AJ44" s="37"/>
      <c r="AK44" s="37"/>
      <c r="AL44" s="37"/>
      <c r="AM44" s="15">
        <f>SUM(AN44:AS44)</f>
        <v>167866.77000000002</v>
      </c>
      <c r="AN44" s="37">
        <f>11937.64+79344.41</f>
        <v>91282.05</v>
      </c>
      <c r="AO44" s="37">
        <f>22331.17+54253.55</f>
        <v>76584.72</v>
      </c>
      <c r="AP44" s="37"/>
      <c r="AQ44" s="37"/>
      <c r="AR44" s="37"/>
      <c r="AS44" s="37"/>
      <c r="AT44" s="15">
        <f t="shared" si="33"/>
        <v>103423.18400000001</v>
      </c>
      <c r="AU44" s="37">
        <f>(L44-AG44)*E44</f>
        <v>57331.193999999996</v>
      </c>
      <c r="AV44" s="37">
        <f>(M44-AH44)*F44</f>
        <v>46091.990000000005</v>
      </c>
      <c r="AW44" s="37"/>
      <c r="AX44" s="37"/>
      <c r="AY44" s="37"/>
      <c r="AZ44" s="13"/>
    </row>
    <row r="45" spans="1:52" ht="81.75" customHeight="1" thickBot="1">
      <c r="A45" s="38"/>
      <c r="B45" s="39" t="s">
        <v>28</v>
      </c>
      <c r="C45" s="40"/>
      <c r="D45" s="15">
        <f t="shared" si="29"/>
        <v>17731</v>
      </c>
      <c r="E45" s="13"/>
      <c r="F45" s="65">
        <v>17731</v>
      </c>
      <c r="G45" s="37"/>
      <c r="H45" s="37"/>
      <c r="I45" s="37"/>
      <c r="J45" s="37"/>
      <c r="K45" s="14">
        <f t="shared" si="5"/>
        <v>30.762599966160963</v>
      </c>
      <c r="L45" s="13"/>
      <c r="M45" s="37">
        <v>30.76</v>
      </c>
      <c r="N45" s="37"/>
      <c r="O45" s="37"/>
      <c r="P45" s="37"/>
      <c r="Q45" s="37"/>
      <c r="R45" s="15">
        <f t="shared" si="30"/>
        <v>545451.66</v>
      </c>
      <c r="S45" s="13"/>
      <c r="T45" s="13">
        <v>545451.66</v>
      </c>
      <c r="U45" s="13"/>
      <c r="V45" s="13"/>
      <c r="W45" s="13"/>
      <c r="X45" s="37"/>
      <c r="Y45" s="67">
        <f t="shared" si="31"/>
        <v>17731</v>
      </c>
      <c r="Z45" s="97"/>
      <c r="AA45" s="97">
        <f>ROUND(AO45/AH45,0)</f>
        <v>17731</v>
      </c>
      <c r="AB45" s="97" t="s">
        <v>34</v>
      </c>
      <c r="AC45" s="97"/>
      <c r="AD45" s="97"/>
      <c r="AE45" s="97"/>
      <c r="AF45" s="14">
        <f t="shared" si="22"/>
        <v>17.379985336416446</v>
      </c>
      <c r="AG45" s="37"/>
      <c r="AH45" s="37">
        <v>17.38</v>
      </c>
      <c r="AI45" s="13"/>
      <c r="AJ45" s="13"/>
      <c r="AK45" s="13"/>
      <c r="AL45" s="37"/>
      <c r="AM45" s="15">
        <f t="shared" si="32"/>
        <v>308164.52</v>
      </c>
      <c r="AN45" s="13"/>
      <c r="AO45" s="13">
        <f>95569.51+212595.01</f>
        <v>308164.52</v>
      </c>
      <c r="AP45" s="13"/>
      <c r="AQ45" s="13"/>
      <c r="AR45" s="13"/>
      <c r="AS45" s="37"/>
      <c r="AT45" s="15">
        <f t="shared" si="33"/>
        <v>237240.78000000006</v>
      </c>
      <c r="AU45" s="37"/>
      <c r="AV45" s="37">
        <f>(M45-AH45)*F45</f>
        <v>237240.78000000006</v>
      </c>
      <c r="AW45" s="37"/>
      <c r="AX45" s="37"/>
      <c r="AY45" s="37"/>
      <c r="AZ45" s="13"/>
    </row>
    <row r="46" spans="1:65" s="91" customFormat="1" ht="27.75" customHeight="1" thickBot="1">
      <c r="A46" s="88"/>
      <c r="B46" s="89" t="s">
        <v>46</v>
      </c>
      <c r="C46" s="89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>
        <f aca="true" t="shared" si="34" ref="R46:X46">R37+R27+R19+R7</f>
        <v>6566397.5</v>
      </c>
      <c r="S46" s="90">
        <f t="shared" si="34"/>
        <v>570165.0499999999</v>
      </c>
      <c r="T46" s="90">
        <f t="shared" si="34"/>
        <v>3004452.14</v>
      </c>
      <c r="U46" s="90">
        <f t="shared" si="34"/>
        <v>1380850.63</v>
      </c>
      <c r="V46" s="90">
        <f t="shared" si="34"/>
        <v>402490.18000000005</v>
      </c>
      <c r="W46" s="90">
        <f t="shared" si="34"/>
        <v>1168178.58</v>
      </c>
      <c r="X46" s="90">
        <f t="shared" si="34"/>
        <v>40260.92</v>
      </c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>
        <f aca="true" t="shared" si="35" ref="AM46:AZ46">AM37+AM27+AM19+AM7</f>
        <v>4255483.850000001</v>
      </c>
      <c r="AN46" s="90">
        <f t="shared" si="35"/>
        <v>398327.98000000004</v>
      </c>
      <c r="AO46" s="90">
        <f t="shared" si="35"/>
        <v>1839553.75</v>
      </c>
      <c r="AP46" s="90">
        <f t="shared" si="35"/>
        <v>922409.17</v>
      </c>
      <c r="AQ46" s="90">
        <f t="shared" si="35"/>
        <v>354259.79000000004</v>
      </c>
      <c r="AR46" s="90">
        <f t="shared" si="35"/>
        <v>711424.18</v>
      </c>
      <c r="AS46" s="90">
        <f t="shared" si="35"/>
        <v>29508.980000000003</v>
      </c>
      <c r="AT46" s="90">
        <f t="shared" si="35"/>
        <v>2301889.059637</v>
      </c>
      <c r="AU46" s="90">
        <f t="shared" si="35"/>
        <v>176680.464714</v>
      </c>
      <c r="AV46" s="90">
        <f t="shared" si="35"/>
        <v>1138973.3760310002</v>
      </c>
      <c r="AW46" s="90">
        <f t="shared" si="35"/>
        <v>459894.991609</v>
      </c>
      <c r="AX46" s="90">
        <f t="shared" si="35"/>
        <v>33869.499564999984</v>
      </c>
      <c r="AY46" s="90">
        <f t="shared" si="35"/>
        <v>481718.473718</v>
      </c>
      <c r="AZ46" s="90">
        <f t="shared" si="35"/>
        <v>10752.254</v>
      </c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</row>
    <row r="47" spans="5:25" ht="25.5" customHeight="1">
      <c r="E47" s="6"/>
      <c r="Y47" s="6"/>
    </row>
    <row r="48" spans="2:57" ht="55.5" customHeight="1">
      <c r="B48" s="208"/>
      <c r="C48" s="208"/>
      <c r="D48" s="208"/>
      <c r="E48" s="208"/>
      <c r="U48" s="208"/>
      <c r="V48" s="208"/>
      <c r="W48" s="94"/>
      <c r="X48" s="94"/>
      <c r="Y48" s="94"/>
      <c r="Z48" s="94"/>
      <c r="AT48" s="213" t="s">
        <v>19</v>
      </c>
      <c r="AU48" s="213"/>
      <c r="AV48" s="213"/>
      <c r="AW48" s="213"/>
      <c r="AY48" s="214" t="s">
        <v>45</v>
      </c>
      <c r="AZ48" s="214"/>
      <c r="BA48" s="208"/>
      <c r="BB48" s="208"/>
      <c r="BC48" s="208"/>
      <c r="BD48" s="208"/>
      <c r="BE48" s="208"/>
    </row>
    <row r="49" spans="5:26" ht="55.5" customHeight="1">
      <c r="E49" s="6"/>
      <c r="Y49" s="6"/>
      <c r="Z49" s="6"/>
    </row>
    <row r="50" spans="5:54" ht="26.25">
      <c r="E50" s="6"/>
      <c r="Y50" s="6"/>
      <c r="Z50" s="6"/>
      <c r="AT50" s="6"/>
      <c r="AV50" s="93"/>
      <c r="BA50" s="6"/>
      <c r="BB50" s="6"/>
    </row>
    <row r="51" spans="5:26" ht="26.25">
      <c r="E51" s="6"/>
      <c r="Y51" s="6"/>
      <c r="Z51" s="6"/>
    </row>
    <row r="52" spans="5:26" ht="26.25">
      <c r="E52" s="6"/>
      <c r="Y52" s="6"/>
      <c r="Z52" s="6"/>
    </row>
    <row r="53" spans="5:26" ht="26.25">
      <c r="E53" s="6"/>
      <c r="Y53" s="6"/>
      <c r="Z53" s="6"/>
    </row>
    <row r="54" spans="5:26" ht="26.25">
      <c r="E54" s="6"/>
      <c r="Y54" s="6"/>
      <c r="Z54" s="6"/>
    </row>
    <row r="55" spans="5:26" ht="26.25">
      <c r="E55" s="6"/>
      <c r="Y55" s="6"/>
      <c r="Z55" s="6"/>
    </row>
    <row r="56" spans="5:26" ht="26.25">
      <c r="E56" s="6"/>
      <c r="Y56" s="6"/>
      <c r="Z56" s="6"/>
    </row>
    <row r="57" spans="5:26" ht="26.25">
      <c r="E57" s="6"/>
      <c r="Y57" s="6"/>
      <c r="Z57" s="6"/>
    </row>
    <row r="58" spans="5:26" ht="26.25">
      <c r="E58" s="6"/>
      <c r="Y58" s="6"/>
      <c r="Z58" s="6"/>
    </row>
    <row r="59" spans="5:26" ht="26.25">
      <c r="E59" s="6"/>
      <c r="Y59" s="6"/>
      <c r="Z59" s="6"/>
    </row>
    <row r="60" spans="5:26" ht="26.25">
      <c r="E60" s="6"/>
      <c r="Y60" s="6"/>
      <c r="Z60" s="6"/>
    </row>
    <row r="61" spans="5:26" ht="26.25">
      <c r="E61" s="6"/>
      <c r="Y61" s="6"/>
      <c r="Z61" s="6"/>
    </row>
    <row r="62" spans="5:26" ht="26.25">
      <c r="E62" s="6"/>
      <c r="Y62" s="6"/>
      <c r="Z62" s="6"/>
    </row>
    <row r="63" spans="5:26" ht="26.25">
      <c r="E63" s="6"/>
      <c r="Y63" s="6"/>
      <c r="Z63" s="6"/>
    </row>
    <row r="64" spans="5:26" ht="26.25">
      <c r="E64" s="6"/>
      <c r="Y64" s="6"/>
      <c r="Z64" s="6"/>
    </row>
    <row r="65" spans="5:26" ht="26.25">
      <c r="E65" s="6"/>
      <c r="Y65" s="6"/>
      <c r="Z65" s="6"/>
    </row>
    <row r="66" spans="5:26" ht="26.25">
      <c r="E66" s="6"/>
      <c r="Y66" s="6"/>
      <c r="Z66" s="6"/>
    </row>
    <row r="67" spans="5:26" ht="26.25">
      <c r="E67" s="6"/>
      <c r="Y67" s="6"/>
      <c r="Z67" s="6"/>
    </row>
    <row r="68" spans="5:26" ht="26.25">
      <c r="E68" s="6"/>
      <c r="Y68" s="6"/>
      <c r="Z68" s="6"/>
    </row>
    <row r="69" spans="5:26" ht="26.25">
      <c r="E69" s="6"/>
      <c r="Y69" s="6"/>
      <c r="Z69" s="6"/>
    </row>
    <row r="70" spans="5:26" ht="26.25">
      <c r="E70" s="6"/>
      <c r="Y70" s="6"/>
      <c r="Z70" s="6"/>
    </row>
    <row r="71" spans="5:26" ht="26.25">
      <c r="E71" s="6"/>
      <c r="Y71" s="6"/>
      <c r="Z71" s="6"/>
    </row>
    <row r="72" spans="5:26" ht="26.25">
      <c r="E72" s="6"/>
      <c r="Y72" s="6"/>
      <c r="Z72" s="6"/>
    </row>
    <row r="73" spans="5:26" ht="26.25">
      <c r="E73" s="6"/>
      <c r="Y73" s="6"/>
      <c r="Z73" s="6"/>
    </row>
    <row r="74" spans="5:26" ht="26.25">
      <c r="E74" s="6"/>
      <c r="Y74" s="6"/>
      <c r="Z74" s="6"/>
    </row>
    <row r="75" spans="5:26" ht="26.25">
      <c r="E75" s="6"/>
      <c r="Y75" s="6"/>
      <c r="Z75" s="6"/>
    </row>
    <row r="76" spans="5:26" ht="26.25">
      <c r="E76" s="6"/>
      <c r="Y76" s="6"/>
      <c r="Z76" s="6"/>
    </row>
    <row r="77" spans="5:26" ht="26.25">
      <c r="E77" s="6"/>
      <c r="Y77" s="6"/>
      <c r="Z77" s="6"/>
    </row>
    <row r="78" spans="5:26" ht="26.25">
      <c r="E78" s="6"/>
      <c r="Y78" s="6"/>
      <c r="Z78" s="6"/>
    </row>
    <row r="79" spans="5:26" ht="26.25">
      <c r="E79" s="6"/>
      <c r="Y79" s="6"/>
      <c r="Z79" s="6"/>
    </row>
    <row r="80" spans="5:26" ht="26.25">
      <c r="E80" s="6"/>
      <c r="Y80" s="6"/>
      <c r="Z80" s="6"/>
    </row>
    <row r="81" spans="5:26" ht="26.25">
      <c r="E81" s="6"/>
      <c r="Y81" s="6"/>
      <c r="Z81" s="6"/>
    </row>
    <row r="82" spans="5:26" ht="26.25">
      <c r="E82" s="6"/>
      <c r="Y82" s="6"/>
      <c r="Z82" s="6"/>
    </row>
    <row r="83" spans="5:26" ht="26.25">
      <c r="E83" s="6"/>
      <c r="Y83" s="6"/>
      <c r="Z83" s="6"/>
    </row>
    <row r="84" spans="5:26" ht="26.25">
      <c r="E84" s="6"/>
      <c r="Y84" s="6"/>
      <c r="Z84" s="6"/>
    </row>
    <row r="85" spans="5:26" ht="26.25">
      <c r="E85" s="6"/>
      <c r="Y85" s="6"/>
      <c r="Z85" s="6"/>
    </row>
    <row r="86" spans="5:26" ht="26.25">
      <c r="E86" s="6"/>
      <c r="Y86" s="6"/>
      <c r="Z86" s="6"/>
    </row>
    <row r="87" spans="5:26" ht="26.25">
      <c r="E87" s="6"/>
      <c r="Y87" s="6"/>
      <c r="Z87" s="6"/>
    </row>
    <row r="88" spans="5:26" ht="26.25">
      <c r="E88" s="6"/>
      <c r="Y88" s="6"/>
      <c r="Z88" s="6"/>
    </row>
    <row r="89" spans="5:26" ht="26.25">
      <c r="E89" s="6"/>
      <c r="Y89" s="6"/>
      <c r="Z89" s="6"/>
    </row>
    <row r="90" spans="25:26" ht="26.25">
      <c r="Y90" s="6"/>
      <c r="Z90" s="6"/>
    </row>
    <row r="91" spans="25:26" ht="26.25">
      <c r="Y91" s="6"/>
      <c r="Z91" s="6"/>
    </row>
    <row r="92" spans="25:26" ht="26.25">
      <c r="Y92" s="6"/>
      <c r="Z92" s="6"/>
    </row>
    <row r="93" spans="25:26" ht="26.25">
      <c r="Y93" s="6"/>
      <c r="Z93" s="6"/>
    </row>
    <row r="94" spans="25:26" ht="26.25">
      <c r="Y94" s="6"/>
      <c r="Z94" s="6"/>
    </row>
    <row r="95" spans="25:26" ht="26.25">
      <c r="Y95" s="6"/>
      <c r="Z95" s="6"/>
    </row>
    <row r="96" spans="25:26" ht="26.25">
      <c r="Y96" s="6"/>
      <c r="Z96" s="6"/>
    </row>
    <row r="97" spans="25:26" ht="26.25">
      <c r="Y97" s="6"/>
      <c r="Z97" s="6"/>
    </row>
    <row r="98" spans="25:26" ht="26.25">
      <c r="Y98" s="6"/>
      <c r="Z98" s="6"/>
    </row>
    <row r="99" spans="25:26" ht="26.25">
      <c r="Y99" s="6"/>
      <c r="Z99" s="6"/>
    </row>
    <row r="100" spans="25:26" ht="26.25">
      <c r="Y100" s="6"/>
      <c r="Z100" s="6"/>
    </row>
    <row r="101" spans="25:26" ht="26.25">
      <c r="Y101" s="6"/>
      <c r="Z101" s="6"/>
    </row>
    <row r="102" spans="25:26" ht="26.25">
      <c r="Y102" s="6"/>
      <c r="Z102" s="6"/>
    </row>
    <row r="103" spans="25:26" ht="26.25">
      <c r="Y103" s="6"/>
      <c r="Z103" s="6"/>
    </row>
    <row r="104" spans="25:26" ht="26.25">
      <c r="Y104" s="6"/>
      <c r="Z104" s="6"/>
    </row>
    <row r="105" spans="25:26" ht="26.25">
      <c r="Y105" s="6"/>
      <c r="Z105" s="6"/>
    </row>
    <row r="106" spans="25:26" ht="26.25">
      <c r="Y106" s="6"/>
      <c r="Z106" s="6"/>
    </row>
    <row r="107" spans="25:26" ht="26.25">
      <c r="Y107" s="6"/>
      <c r="Z107" s="6"/>
    </row>
    <row r="108" spans="25:26" ht="26.25">
      <c r="Y108" s="6"/>
      <c r="Z108" s="6"/>
    </row>
    <row r="109" spans="25:26" ht="26.25">
      <c r="Y109" s="6"/>
      <c r="Z109" s="6"/>
    </row>
    <row r="110" spans="25:26" ht="26.25">
      <c r="Y110" s="6"/>
      <c r="Z110" s="6"/>
    </row>
    <row r="111" spans="25:26" ht="26.25">
      <c r="Y111" s="6"/>
      <c r="Z111" s="6"/>
    </row>
    <row r="112" spans="25:26" ht="26.25">
      <c r="Y112" s="6"/>
      <c r="Z112" s="6"/>
    </row>
    <row r="113" spans="25:26" ht="26.25">
      <c r="Y113" s="6"/>
      <c r="Z113" s="6"/>
    </row>
    <row r="114" spans="25:26" ht="26.25">
      <c r="Y114" s="6"/>
      <c r="Z114" s="6"/>
    </row>
    <row r="115" spans="25:26" ht="26.25">
      <c r="Y115" s="6"/>
      <c r="Z115" s="6"/>
    </row>
    <row r="116" spans="25:26" ht="26.25">
      <c r="Y116" s="6"/>
      <c r="Z116" s="6"/>
    </row>
    <row r="117" spans="25:26" ht="26.25">
      <c r="Y117" s="6"/>
      <c r="Z117" s="6"/>
    </row>
    <row r="118" spans="25:26" ht="26.25">
      <c r="Y118" s="6"/>
      <c r="Z118" s="6"/>
    </row>
    <row r="119" spans="25:26" ht="26.25">
      <c r="Y119" s="6"/>
      <c r="Z119" s="6"/>
    </row>
    <row r="120" spans="25:26" ht="26.25">
      <c r="Y120" s="6"/>
      <c r="Z120" s="6"/>
    </row>
    <row r="121" spans="25:26" ht="26.25">
      <c r="Y121" s="6"/>
      <c r="Z121" s="6"/>
    </row>
    <row r="122" spans="25:26" ht="26.25">
      <c r="Y122" s="6"/>
      <c r="Z122" s="6"/>
    </row>
    <row r="123" spans="25:26" ht="26.25">
      <c r="Y123" s="6"/>
      <c r="Z123" s="6"/>
    </row>
    <row r="124" spans="25:26" ht="26.25">
      <c r="Y124" s="6"/>
      <c r="Z124" s="6"/>
    </row>
    <row r="125" spans="25:26" ht="26.25">
      <c r="Y125" s="6"/>
      <c r="Z125" s="6"/>
    </row>
    <row r="126" spans="25:26" ht="26.25">
      <c r="Y126" s="6"/>
      <c r="Z126" s="6"/>
    </row>
    <row r="127" spans="25:26" ht="26.25">
      <c r="Y127" s="6"/>
      <c r="Z127" s="6"/>
    </row>
    <row r="128" spans="25:26" ht="26.25">
      <c r="Y128" s="6"/>
      <c r="Z128" s="6"/>
    </row>
    <row r="129" spans="25:26" ht="26.25">
      <c r="Y129" s="6"/>
      <c r="Z129" s="6"/>
    </row>
    <row r="130" spans="25:26" ht="26.25">
      <c r="Y130" s="6"/>
      <c r="Z130" s="6"/>
    </row>
    <row r="131" spans="25:26" ht="26.25">
      <c r="Y131" s="6"/>
      <c r="Z131" s="6"/>
    </row>
    <row r="132" spans="25:26" ht="26.25">
      <c r="Y132" s="6"/>
      <c r="Z132" s="6"/>
    </row>
    <row r="133" spans="25:26" ht="26.25">
      <c r="Y133" s="6"/>
      <c r="Z133" s="6"/>
    </row>
    <row r="134" spans="25:26" ht="26.25">
      <c r="Y134" s="6"/>
      <c r="Z134" s="6"/>
    </row>
    <row r="135" spans="25:26" ht="26.25">
      <c r="Y135" s="6"/>
      <c r="Z135" s="6"/>
    </row>
    <row r="136" spans="25:26" ht="26.25">
      <c r="Y136" s="6"/>
      <c r="Z136" s="6"/>
    </row>
    <row r="137" spans="25:26" ht="26.25">
      <c r="Y137" s="6"/>
      <c r="Z137" s="6"/>
    </row>
    <row r="138" spans="25:26" ht="26.25">
      <c r="Y138" s="6"/>
      <c r="Z138" s="6"/>
    </row>
    <row r="139" spans="25:26" ht="26.25">
      <c r="Y139" s="6"/>
      <c r="Z139" s="6"/>
    </row>
    <row r="140" spans="25:26" ht="26.25">
      <c r="Y140" s="6"/>
      <c r="Z140" s="6"/>
    </row>
    <row r="141" spans="25:26" ht="26.25">
      <c r="Y141" s="6"/>
      <c r="Z141" s="6"/>
    </row>
    <row r="142" spans="25:26" ht="26.25">
      <c r="Y142" s="6"/>
      <c r="Z142" s="6"/>
    </row>
    <row r="143" spans="25:26" ht="26.25">
      <c r="Y143" s="6"/>
      <c r="Z143" s="6"/>
    </row>
    <row r="144" spans="25:26" ht="26.25">
      <c r="Y144" s="6"/>
      <c r="Z144" s="6"/>
    </row>
    <row r="145" spans="25:26" ht="26.25">
      <c r="Y145" s="6"/>
      <c r="Z145" s="6"/>
    </row>
    <row r="146" spans="25:26" ht="26.25">
      <c r="Y146" s="6"/>
      <c r="Z146" s="6"/>
    </row>
    <row r="147" spans="25:26" ht="26.25">
      <c r="Y147" s="6"/>
      <c r="Z147" s="6"/>
    </row>
    <row r="148" spans="25:26" ht="26.25">
      <c r="Y148" s="6"/>
      <c r="Z148" s="6"/>
    </row>
    <row r="149" spans="25:26" ht="26.25">
      <c r="Y149" s="6"/>
      <c r="Z149" s="6"/>
    </row>
    <row r="150" spans="25:26" ht="26.25">
      <c r="Y150" s="6"/>
      <c r="Z150" s="6"/>
    </row>
    <row r="151" spans="25:26" ht="26.25">
      <c r="Y151" s="6"/>
      <c r="Z151" s="6"/>
    </row>
    <row r="152" spans="25:26" ht="26.25">
      <c r="Y152" s="6"/>
      <c r="Z152" s="6"/>
    </row>
    <row r="153" spans="25:26" ht="26.25">
      <c r="Y153" s="6"/>
      <c r="Z153" s="6"/>
    </row>
    <row r="154" spans="25:26" ht="26.25">
      <c r="Y154" s="6"/>
      <c r="Z154" s="6"/>
    </row>
    <row r="155" spans="25:26" ht="26.25">
      <c r="Y155" s="6"/>
      <c r="Z155" s="6"/>
    </row>
    <row r="156" spans="25:26" ht="26.25">
      <c r="Y156" s="6"/>
      <c r="Z156" s="6"/>
    </row>
    <row r="157" spans="25:26" ht="26.25">
      <c r="Y157" s="6"/>
      <c r="Z157" s="6"/>
    </row>
    <row r="158" spans="25:26" ht="26.25">
      <c r="Y158" s="6"/>
      <c r="Z158" s="6"/>
    </row>
    <row r="159" spans="25:26" ht="26.25">
      <c r="Y159" s="6"/>
      <c r="Z159" s="6"/>
    </row>
    <row r="160" spans="25:26" ht="26.25">
      <c r="Y160" s="6"/>
      <c r="Z160" s="6"/>
    </row>
    <row r="161" spans="25:26" ht="26.25">
      <c r="Y161" s="6"/>
      <c r="Z161" s="6"/>
    </row>
    <row r="162" spans="25:26" ht="26.25">
      <c r="Y162" s="6"/>
      <c r="Z162" s="6"/>
    </row>
    <row r="163" spans="25:26" ht="26.25">
      <c r="Y163" s="6"/>
      <c r="Z163" s="6"/>
    </row>
    <row r="164" spans="25:26" ht="26.25">
      <c r="Y164" s="6"/>
      <c r="Z164" s="6"/>
    </row>
    <row r="165" spans="25:26" ht="26.25">
      <c r="Y165" s="6"/>
      <c r="Z165" s="6"/>
    </row>
    <row r="166" spans="25:26" ht="26.25">
      <c r="Y166" s="6"/>
      <c r="Z166" s="6"/>
    </row>
    <row r="167" spans="25:26" ht="26.25">
      <c r="Y167" s="6"/>
      <c r="Z167" s="6"/>
    </row>
    <row r="168" spans="25:26" ht="26.25">
      <c r="Y168" s="6"/>
      <c r="Z168" s="6"/>
    </row>
    <row r="169" spans="25:26" ht="26.25">
      <c r="Y169" s="6"/>
      <c r="Z169" s="6"/>
    </row>
    <row r="170" spans="25:26" ht="26.25">
      <c r="Y170" s="6"/>
      <c r="Z170" s="6"/>
    </row>
    <row r="171" spans="25:26" ht="26.25">
      <c r="Y171" s="6"/>
      <c r="Z171" s="6"/>
    </row>
    <row r="172" spans="25:26" ht="26.25">
      <c r="Y172" s="6"/>
      <c r="Z172" s="6"/>
    </row>
    <row r="173" spans="25:26" ht="26.25">
      <c r="Y173" s="6"/>
      <c r="Z173" s="6"/>
    </row>
    <row r="174" spans="25:26" ht="26.25">
      <c r="Y174" s="6"/>
      <c r="Z174" s="6"/>
    </row>
    <row r="175" spans="25:26" ht="26.25">
      <c r="Y175" s="6"/>
      <c r="Z175" s="6"/>
    </row>
    <row r="176" spans="25:26" ht="26.25">
      <c r="Y176" s="6"/>
      <c r="Z176" s="6"/>
    </row>
    <row r="177" spans="25:26" ht="26.25">
      <c r="Y177" s="6"/>
      <c r="Z177" s="6"/>
    </row>
    <row r="178" spans="25:26" ht="26.25">
      <c r="Y178" s="6"/>
      <c r="Z178" s="6"/>
    </row>
    <row r="179" spans="25:26" ht="26.25">
      <c r="Y179" s="6"/>
      <c r="Z179" s="6"/>
    </row>
    <row r="180" spans="25:26" ht="26.25">
      <c r="Y180" s="6"/>
      <c r="Z180" s="6"/>
    </row>
    <row r="181" spans="25:26" ht="26.25">
      <c r="Y181" s="6"/>
      <c r="Z181" s="6"/>
    </row>
    <row r="182" spans="25:26" ht="26.25">
      <c r="Y182" s="6"/>
      <c r="Z182" s="6"/>
    </row>
    <row r="183" spans="25:26" ht="26.25">
      <c r="Y183" s="6"/>
      <c r="Z183" s="6"/>
    </row>
    <row r="184" spans="25:26" ht="26.25">
      <c r="Y184" s="6"/>
      <c r="Z184" s="6"/>
    </row>
    <row r="185" spans="25:26" ht="26.25">
      <c r="Y185" s="6"/>
      <c r="Z185" s="6"/>
    </row>
    <row r="186" spans="25:26" ht="26.25">
      <c r="Y186" s="6"/>
      <c r="Z186" s="6"/>
    </row>
    <row r="187" spans="25:26" ht="26.25">
      <c r="Y187" s="6"/>
      <c r="Z187" s="6"/>
    </row>
    <row r="188" spans="25:26" ht="26.25">
      <c r="Y188" s="6"/>
      <c r="Z188" s="6"/>
    </row>
    <row r="189" spans="25:26" ht="26.25">
      <c r="Y189" s="6"/>
      <c r="Z189" s="6"/>
    </row>
    <row r="190" spans="25:26" ht="26.25">
      <c r="Y190" s="6"/>
      <c r="Z190" s="6"/>
    </row>
    <row r="191" spans="25:26" ht="26.25">
      <c r="Y191" s="6"/>
      <c r="Z191" s="6"/>
    </row>
    <row r="192" spans="25:26" ht="26.25">
      <c r="Y192" s="6"/>
      <c r="Z192" s="6"/>
    </row>
    <row r="193" spans="25:26" ht="26.25">
      <c r="Y193" s="6"/>
      <c r="Z193" s="6"/>
    </row>
    <row r="194" spans="25:26" ht="26.25">
      <c r="Y194" s="6"/>
      <c r="Z194" s="6"/>
    </row>
    <row r="195" spans="25:26" ht="26.25">
      <c r="Y195" s="6"/>
      <c r="Z195" s="6"/>
    </row>
    <row r="196" spans="25:26" ht="26.25">
      <c r="Y196" s="6"/>
      <c r="Z196" s="6"/>
    </row>
    <row r="197" spans="25:26" ht="26.25">
      <c r="Y197" s="6"/>
      <c r="Z197" s="6"/>
    </row>
    <row r="198" spans="25:26" ht="26.25">
      <c r="Y198" s="6"/>
      <c r="Z198" s="6"/>
    </row>
    <row r="199" spans="25:26" ht="26.25">
      <c r="Y199" s="6"/>
      <c r="Z199" s="6"/>
    </row>
    <row r="200" spans="25:26" ht="26.25">
      <c r="Y200" s="6"/>
      <c r="Z200" s="6"/>
    </row>
    <row r="201" spans="25:26" ht="26.25">
      <c r="Y201" s="6"/>
      <c r="Z201" s="6"/>
    </row>
    <row r="202" spans="25:26" ht="26.25">
      <c r="Y202" s="6"/>
      <c r="Z202" s="6"/>
    </row>
    <row r="203" spans="25:26" ht="26.25">
      <c r="Y203" s="6"/>
      <c r="Z203" s="6"/>
    </row>
    <row r="204" spans="25:26" ht="26.25">
      <c r="Y204" s="6"/>
      <c r="Z204" s="6"/>
    </row>
    <row r="205" spans="25:26" ht="26.25">
      <c r="Y205" s="6"/>
      <c r="Z205" s="6"/>
    </row>
    <row r="206" spans="25:26" ht="26.25">
      <c r="Y206" s="6"/>
      <c r="Z206" s="6"/>
    </row>
    <row r="207" spans="25:26" ht="26.25">
      <c r="Y207" s="6"/>
      <c r="Z207" s="6"/>
    </row>
    <row r="208" spans="25:26" ht="26.25">
      <c r="Y208" s="6"/>
      <c r="Z208" s="6"/>
    </row>
    <row r="209" spans="25:26" ht="26.25">
      <c r="Y209" s="6"/>
      <c r="Z209" s="6"/>
    </row>
    <row r="210" spans="25:26" ht="26.25">
      <c r="Y210" s="6"/>
      <c r="Z210" s="6"/>
    </row>
    <row r="211" spans="25:26" ht="26.25">
      <c r="Y211" s="6"/>
      <c r="Z211" s="6"/>
    </row>
    <row r="212" spans="25:26" ht="26.25">
      <c r="Y212" s="6"/>
      <c r="Z212" s="6"/>
    </row>
    <row r="213" spans="25:26" ht="26.25">
      <c r="Y213" s="6"/>
      <c r="Z213" s="6"/>
    </row>
    <row r="214" spans="25:26" ht="26.25">
      <c r="Y214" s="6"/>
      <c r="Z214" s="6"/>
    </row>
    <row r="215" spans="25:26" ht="26.25">
      <c r="Y215" s="6"/>
      <c r="Z215" s="6"/>
    </row>
    <row r="216" spans="25:26" ht="26.25">
      <c r="Y216" s="6"/>
      <c r="Z216" s="6"/>
    </row>
    <row r="217" spans="25:26" ht="26.25">
      <c r="Y217" s="6"/>
      <c r="Z217" s="6"/>
    </row>
    <row r="218" spans="25:26" ht="26.25">
      <c r="Y218" s="6"/>
      <c r="Z218" s="6"/>
    </row>
    <row r="219" spans="25:26" ht="26.25">
      <c r="Y219" s="6"/>
      <c r="Z219" s="6"/>
    </row>
    <row r="220" spans="25:26" ht="26.25">
      <c r="Y220" s="6"/>
      <c r="Z220" s="6"/>
    </row>
    <row r="221" spans="25:26" ht="26.25">
      <c r="Y221" s="6"/>
      <c r="Z221" s="6"/>
    </row>
    <row r="222" spans="25:26" ht="26.25">
      <c r="Y222" s="6"/>
      <c r="Z222" s="6"/>
    </row>
    <row r="223" spans="25:26" ht="26.25">
      <c r="Y223" s="6"/>
      <c r="Z223" s="6"/>
    </row>
    <row r="224" spans="25:26" ht="26.25">
      <c r="Y224" s="6"/>
      <c r="Z224" s="6"/>
    </row>
    <row r="225" spans="25:26" ht="26.25">
      <c r="Y225" s="6"/>
      <c r="Z225" s="6"/>
    </row>
    <row r="226" spans="25:26" ht="26.25">
      <c r="Y226" s="6"/>
      <c r="Z226" s="6"/>
    </row>
    <row r="227" spans="25:26" ht="26.25">
      <c r="Y227" s="6"/>
      <c r="Z227" s="6"/>
    </row>
    <row r="228" spans="25:26" ht="26.25">
      <c r="Y228" s="6"/>
      <c r="Z228" s="6"/>
    </row>
    <row r="229" spans="25:26" ht="26.25">
      <c r="Y229" s="6"/>
      <c r="Z229" s="6"/>
    </row>
    <row r="230" spans="25:26" ht="26.25">
      <c r="Y230" s="6"/>
      <c r="Z230" s="6"/>
    </row>
    <row r="231" spans="25:26" ht="26.25">
      <c r="Y231" s="6"/>
      <c r="Z231" s="6"/>
    </row>
    <row r="232" spans="25:26" ht="26.25">
      <c r="Y232" s="6"/>
      <c r="Z232" s="6"/>
    </row>
    <row r="233" spans="25:26" ht="26.25">
      <c r="Y233" s="6"/>
      <c r="Z233" s="6"/>
    </row>
    <row r="234" spans="25:26" ht="26.25">
      <c r="Y234" s="6"/>
      <c r="Z234" s="6"/>
    </row>
    <row r="235" spans="25:26" ht="26.25">
      <c r="Y235" s="6"/>
      <c r="Z235" s="6"/>
    </row>
    <row r="236" spans="25:26" ht="26.25">
      <c r="Y236" s="6"/>
      <c r="Z236" s="6"/>
    </row>
    <row r="237" spans="25:26" ht="26.25">
      <c r="Y237" s="6"/>
      <c r="Z237" s="6"/>
    </row>
    <row r="238" spans="25:26" ht="26.25">
      <c r="Y238" s="6"/>
      <c r="Z238" s="6"/>
    </row>
    <row r="239" spans="25:26" ht="26.25">
      <c r="Y239" s="6"/>
      <c r="Z239" s="6"/>
    </row>
    <row r="240" spans="25:26" ht="26.25">
      <c r="Y240" s="6"/>
      <c r="Z240" s="6"/>
    </row>
    <row r="241" spans="25:26" ht="26.25">
      <c r="Y241" s="6"/>
      <c r="Z241" s="6"/>
    </row>
    <row r="242" spans="25:26" ht="26.25">
      <c r="Y242" s="6"/>
      <c r="Z242" s="6"/>
    </row>
    <row r="243" spans="25:26" ht="26.25">
      <c r="Y243" s="6"/>
      <c r="Z243" s="6"/>
    </row>
    <row r="244" spans="25:26" ht="26.25">
      <c r="Y244" s="6"/>
      <c r="Z244" s="6"/>
    </row>
    <row r="245" spans="25:26" ht="26.25">
      <c r="Y245" s="6"/>
      <c r="Z245" s="6"/>
    </row>
    <row r="246" spans="25:26" ht="26.25">
      <c r="Y246" s="6"/>
      <c r="Z246" s="6"/>
    </row>
    <row r="247" spans="25:26" ht="26.25">
      <c r="Y247" s="6"/>
      <c r="Z247" s="6"/>
    </row>
    <row r="248" spans="25:26" ht="26.25">
      <c r="Y248" s="6"/>
      <c r="Z248" s="6"/>
    </row>
    <row r="249" spans="25:26" ht="26.25">
      <c r="Y249" s="6"/>
      <c r="Z249" s="6"/>
    </row>
    <row r="250" spans="25:26" ht="26.25">
      <c r="Y250" s="6"/>
      <c r="Z250" s="6"/>
    </row>
    <row r="251" spans="25:26" ht="26.25">
      <c r="Y251" s="6"/>
      <c r="Z251" s="6"/>
    </row>
    <row r="252" spans="25:26" ht="26.25">
      <c r="Y252" s="6"/>
      <c r="Z252" s="6"/>
    </row>
    <row r="253" spans="25:26" ht="26.25">
      <c r="Y253" s="6"/>
      <c r="Z253" s="6"/>
    </row>
    <row r="254" spans="25:26" ht="26.25">
      <c r="Y254" s="6"/>
      <c r="Z254" s="6"/>
    </row>
    <row r="255" spans="25:26" ht="26.25">
      <c r="Y255" s="6"/>
      <c r="Z255" s="6"/>
    </row>
    <row r="256" spans="25:26" ht="26.25">
      <c r="Y256" s="6"/>
      <c r="Z256" s="6"/>
    </row>
    <row r="257" spans="25:26" ht="26.25">
      <c r="Y257" s="6"/>
      <c r="Z257" s="6"/>
    </row>
    <row r="258" spans="25:26" ht="26.25">
      <c r="Y258" s="6"/>
      <c r="Z258" s="6"/>
    </row>
    <row r="259" spans="25:26" ht="26.25">
      <c r="Y259" s="6"/>
      <c r="Z259" s="6"/>
    </row>
    <row r="260" spans="25:26" ht="26.25">
      <c r="Y260" s="6"/>
      <c r="Z260" s="6"/>
    </row>
    <row r="261" spans="25:26" ht="26.25">
      <c r="Y261" s="6"/>
      <c r="Z261" s="6"/>
    </row>
    <row r="262" spans="25:26" ht="26.25">
      <c r="Y262" s="6"/>
      <c r="Z262" s="6"/>
    </row>
    <row r="263" spans="25:26" ht="26.25">
      <c r="Y263" s="6"/>
      <c r="Z263" s="6"/>
    </row>
    <row r="264" spans="25:26" ht="26.25">
      <c r="Y264" s="6"/>
      <c r="Z264" s="6"/>
    </row>
    <row r="265" spans="25:26" ht="26.25">
      <c r="Y265" s="6"/>
      <c r="Z265" s="6"/>
    </row>
    <row r="266" spans="25:26" ht="26.25">
      <c r="Y266" s="6"/>
      <c r="Z266" s="6"/>
    </row>
    <row r="267" spans="25:26" ht="26.25">
      <c r="Y267" s="6"/>
      <c r="Z267" s="6"/>
    </row>
    <row r="268" spans="25:26" ht="26.25">
      <c r="Y268" s="6"/>
      <c r="Z268" s="6"/>
    </row>
    <row r="269" spans="25:26" ht="26.25">
      <c r="Y269" s="6"/>
      <c r="Z269" s="6"/>
    </row>
    <row r="270" spans="25:26" ht="26.25">
      <c r="Y270" s="6"/>
      <c r="Z270" s="6"/>
    </row>
    <row r="271" spans="25:26" ht="26.25">
      <c r="Y271" s="6"/>
      <c r="Z271" s="6"/>
    </row>
    <row r="272" spans="25:26" ht="26.25">
      <c r="Y272" s="6"/>
      <c r="Z272" s="6"/>
    </row>
    <row r="273" spans="25:26" ht="26.25">
      <c r="Y273" s="6"/>
      <c r="Z273" s="6"/>
    </row>
    <row r="274" spans="25:26" ht="26.25">
      <c r="Y274" s="6"/>
      <c r="Z274" s="6"/>
    </row>
    <row r="275" spans="25:26" ht="26.25">
      <c r="Y275" s="6"/>
      <c r="Z275" s="6"/>
    </row>
    <row r="276" spans="25:26" ht="26.25">
      <c r="Y276" s="6"/>
      <c r="Z276" s="6"/>
    </row>
    <row r="277" spans="25:26" ht="26.25">
      <c r="Y277" s="6"/>
      <c r="Z277" s="6"/>
    </row>
    <row r="278" spans="25:26" ht="26.25">
      <c r="Y278" s="6"/>
      <c r="Z278" s="6"/>
    </row>
    <row r="279" spans="25:26" ht="26.25">
      <c r="Y279" s="6"/>
      <c r="Z279" s="6"/>
    </row>
    <row r="280" spans="25:26" ht="26.25">
      <c r="Y280" s="6"/>
      <c r="Z280" s="6"/>
    </row>
    <row r="281" spans="25:26" ht="26.25">
      <c r="Y281" s="6"/>
      <c r="Z281" s="6"/>
    </row>
    <row r="282" spans="25:26" ht="26.25">
      <c r="Y282" s="6"/>
      <c r="Z282" s="6"/>
    </row>
    <row r="283" spans="25:26" ht="26.25">
      <c r="Y283" s="6"/>
      <c r="Z283" s="6"/>
    </row>
    <row r="284" spans="25:26" ht="26.25">
      <c r="Y284" s="6"/>
      <c r="Z284" s="6"/>
    </row>
    <row r="285" spans="25:26" ht="26.25">
      <c r="Y285" s="6"/>
      <c r="Z285" s="6"/>
    </row>
    <row r="286" spans="25:26" ht="26.25">
      <c r="Y286" s="6"/>
      <c r="Z286" s="6"/>
    </row>
    <row r="287" spans="25:26" ht="26.25">
      <c r="Y287" s="6"/>
      <c r="Z287" s="6"/>
    </row>
    <row r="288" spans="25:26" ht="26.25">
      <c r="Y288" s="6"/>
      <c r="Z288" s="6"/>
    </row>
    <row r="289" spans="25:26" ht="26.25">
      <c r="Y289" s="6"/>
      <c r="Z289" s="6"/>
    </row>
    <row r="290" spans="25:26" ht="26.25">
      <c r="Y290" s="6"/>
      <c r="Z290" s="6"/>
    </row>
    <row r="291" spans="25:26" ht="26.25">
      <c r="Y291" s="6"/>
      <c r="Z291" s="6"/>
    </row>
    <row r="292" spans="25:26" ht="26.25">
      <c r="Y292" s="6"/>
      <c r="Z292" s="6"/>
    </row>
    <row r="293" spans="25:26" ht="26.25">
      <c r="Y293" s="6"/>
      <c r="Z293" s="6"/>
    </row>
    <row r="294" spans="25:26" ht="26.25">
      <c r="Y294" s="6"/>
      <c r="Z294" s="6"/>
    </row>
    <row r="295" spans="25:26" ht="26.25">
      <c r="Y295" s="6"/>
      <c r="Z295" s="6"/>
    </row>
    <row r="296" spans="25:26" ht="26.25">
      <c r="Y296" s="6"/>
      <c r="Z296" s="6"/>
    </row>
    <row r="297" spans="25:26" ht="26.25">
      <c r="Y297" s="6"/>
      <c r="Z297" s="6"/>
    </row>
    <row r="298" spans="25:26" ht="26.25">
      <c r="Y298" s="6"/>
      <c r="Z298" s="6"/>
    </row>
    <row r="299" spans="25:26" ht="26.25">
      <c r="Y299" s="6"/>
      <c r="Z299" s="6"/>
    </row>
    <row r="300" spans="25:26" ht="26.25">
      <c r="Y300" s="6"/>
      <c r="Z300" s="6"/>
    </row>
    <row r="301" spans="25:26" ht="26.25">
      <c r="Y301" s="6"/>
      <c r="Z301" s="6"/>
    </row>
    <row r="302" spans="25:26" ht="26.25">
      <c r="Y302" s="6"/>
      <c r="Z302" s="6"/>
    </row>
    <row r="303" spans="25:26" ht="26.25">
      <c r="Y303" s="6"/>
      <c r="Z303" s="6"/>
    </row>
    <row r="304" spans="25:26" ht="26.25">
      <c r="Y304" s="6"/>
      <c r="Z304" s="6"/>
    </row>
    <row r="305" spans="25:26" ht="26.25">
      <c r="Y305" s="6"/>
      <c r="Z305" s="6"/>
    </row>
    <row r="306" spans="25:26" ht="26.25">
      <c r="Y306" s="6"/>
      <c r="Z306" s="6"/>
    </row>
    <row r="307" spans="25:26" ht="26.25">
      <c r="Y307" s="6"/>
      <c r="Z307" s="6"/>
    </row>
    <row r="308" spans="25:26" ht="26.25">
      <c r="Y308" s="6"/>
      <c r="Z308" s="6"/>
    </row>
    <row r="309" spans="25:26" ht="26.25">
      <c r="Y309" s="6"/>
      <c r="Z309" s="6"/>
    </row>
    <row r="310" spans="25:26" ht="26.25">
      <c r="Y310" s="6"/>
      <c r="Z310" s="6"/>
    </row>
    <row r="311" spans="25:26" ht="26.25">
      <c r="Y311" s="6"/>
      <c r="Z311" s="6"/>
    </row>
    <row r="312" spans="25:26" ht="26.25">
      <c r="Y312" s="6"/>
      <c r="Z312" s="6"/>
    </row>
    <row r="313" spans="25:26" ht="26.25">
      <c r="Y313" s="6"/>
      <c r="Z313" s="6"/>
    </row>
    <row r="314" spans="25:26" ht="26.25">
      <c r="Y314" s="6"/>
      <c r="Z314" s="6"/>
    </row>
    <row r="315" spans="25:26" ht="26.25">
      <c r="Y315" s="6"/>
      <c r="Z315" s="6"/>
    </row>
    <row r="316" spans="25:26" ht="26.25">
      <c r="Y316" s="6"/>
      <c r="Z316" s="6"/>
    </row>
    <row r="317" spans="25:26" ht="26.25">
      <c r="Y317" s="6"/>
      <c r="Z317" s="6"/>
    </row>
    <row r="318" spans="25:26" ht="26.25">
      <c r="Y318" s="6"/>
      <c r="Z318" s="6"/>
    </row>
    <row r="319" spans="25:26" ht="26.25">
      <c r="Y319" s="6"/>
      <c r="Z319" s="6"/>
    </row>
    <row r="320" spans="25:26" ht="26.25">
      <c r="Y320" s="6"/>
      <c r="Z320" s="6"/>
    </row>
    <row r="321" spans="25:26" ht="26.25">
      <c r="Y321" s="6"/>
      <c r="Z321" s="6"/>
    </row>
    <row r="322" spans="25:26" ht="26.25">
      <c r="Y322" s="6"/>
      <c r="Z322" s="6"/>
    </row>
    <row r="323" spans="25:26" ht="26.25">
      <c r="Y323" s="6"/>
      <c r="Z323" s="6"/>
    </row>
    <row r="324" spans="25:26" ht="26.25">
      <c r="Y324" s="6"/>
      <c r="Z324" s="6"/>
    </row>
    <row r="325" spans="25:26" ht="26.25">
      <c r="Y325" s="6"/>
      <c r="Z325" s="6"/>
    </row>
    <row r="326" spans="25:26" ht="26.25">
      <c r="Y326" s="6"/>
      <c r="Z326" s="6"/>
    </row>
    <row r="327" spans="25:26" ht="26.25">
      <c r="Y327" s="6"/>
      <c r="Z327" s="6"/>
    </row>
    <row r="328" spans="25:26" ht="26.25">
      <c r="Y328" s="6"/>
      <c r="Z328" s="6"/>
    </row>
    <row r="329" spans="25:26" ht="26.25">
      <c r="Y329" s="6"/>
      <c r="Z329" s="6"/>
    </row>
    <row r="330" spans="25:26" ht="26.25">
      <c r="Y330" s="6"/>
      <c r="Z330" s="6"/>
    </row>
    <row r="331" spans="25:26" ht="26.25">
      <c r="Y331" s="6"/>
      <c r="Z331" s="6"/>
    </row>
    <row r="332" spans="25:26" ht="26.25">
      <c r="Y332" s="6"/>
      <c r="Z332" s="6"/>
    </row>
    <row r="333" spans="25:26" ht="26.25">
      <c r="Y333" s="6"/>
      <c r="Z333" s="6"/>
    </row>
    <row r="334" spans="25:26" ht="26.25">
      <c r="Y334" s="6"/>
      <c r="Z334" s="6"/>
    </row>
    <row r="335" spans="25:26" ht="26.25">
      <c r="Y335" s="6"/>
      <c r="Z335" s="6"/>
    </row>
    <row r="336" spans="25:26" ht="26.25">
      <c r="Y336" s="6"/>
      <c r="Z336" s="6"/>
    </row>
    <row r="337" spans="25:26" ht="26.25">
      <c r="Y337" s="6"/>
      <c r="Z337" s="6"/>
    </row>
    <row r="338" spans="25:26" ht="26.25">
      <c r="Y338" s="6"/>
      <c r="Z338" s="6"/>
    </row>
    <row r="339" spans="25:26" ht="26.25">
      <c r="Y339" s="6"/>
      <c r="Z339" s="6"/>
    </row>
    <row r="340" spans="25:26" ht="26.25">
      <c r="Y340" s="6"/>
      <c r="Z340" s="6"/>
    </row>
    <row r="341" spans="25:26" ht="26.25">
      <c r="Y341" s="6"/>
      <c r="Z341" s="6"/>
    </row>
    <row r="342" spans="25:26" ht="26.25">
      <c r="Y342" s="6"/>
      <c r="Z342" s="6"/>
    </row>
    <row r="343" spans="25:26" ht="26.25">
      <c r="Y343" s="6"/>
      <c r="Z343" s="6"/>
    </row>
    <row r="344" spans="25:26" ht="26.25">
      <c r="Y344" s="6"/>
      <c r="Z344" s="6"/>
    </row>
    <row r="345" spans="25:26" ht="26.25">
      <c r="Y345" s="6"/>
      <c r="Z345" s="6"/>
    </row>
    <row r="346" spans="25:26" ht="26.25">
      <c r="Y346" s="6"/>
      <c r="Z346" s="6"/>
    </row>
    <row r="347" spans="25:26" ht="26.25">
      <c r="Y347" s="6"/>
      <c r="Z347" s="6"/>
    </row>
    <row r="348" spans="25:26" ht="26.25">
      <c r="Y348" s="6"/>
      <c r="Z348" s="6"/>
    </row>
    <row r="349" spans="25:26" ht="26.25">
      <c r="Y349" s="6"/>
      <c r="Z349" s="6"/>
    </row>
    <row r="350" spans="25:26" ht="26.25">
      <c r="Y350" s="6"/>
      <c r="Z350" s="6"/>
    </row>
    <row r="351" spans="25:26" ht="26.25">
      <c r="Y351" s="6"/>
      <c r="Z351" s="6"/>
    </row>
    <row r="352" spans="25:26" ht="26.25">
      <c r="Y352" s="6"/>
      <c r="Z352" s="6"/>
    </row>
    <row r="353" spans="25:26" ht="26.25">
      <c r="Y353" s="6"/>
      <c r="Z353" s="6"/>
    </row>
    <row r="354" spans="25:26" ht="26.25">
      <c r="Y354" s="6"/>
      <c r="Z354" s="6"/>
    </row>
    <row r="355" spans="25:26" ht="26.25">
      <c r="Y355" s="6"/>
      <c r="Z355" s="6"/>
    </row>
    <row r="356" spans="25:26" ht="26.25">
      <c r="Y356" s="6"/>
      <c r="Z356" s="6"/>
    </row>
    <row r="357" spans="25:26" ht="26.25">
      <c r="Y357" s="6"/>
      <c r="Z357" s="6"/>
    </row>
    <row r="358" spans="25:26" ht="26.25">
      <c r="Y358" s="6"/>
      <c r="Z358" s="6"/>
    </row>
    <row r="359" spans="25:26" ht="26.25">
      <c r="Y359" s="6"/>
      <c r="Z359" s="6"/>
    </row>
    <row r="360" spans="25:26" ht="26.25">
      <c r="Y360" s="6"/>
      <c r="Z360" s="6"/>
    </row>
    <row r="361" spans="25:26" ht="26.25">
      <c r="Y361" s="6"/>
      <c r="Z361" s="6"/>
    </row>
    <row r="362" spans="25:26" ht="26.25">
      <c r="Y362" s="6"/>
      <c r="Z362" s="6"/>
    </row>
    <row r="363" spans="25:26" ht="26.25">
      <c r="Y363" s="6"/>
      <c r="Z363" s="6"/>
    </row>
    <row r="364" spans="25:26" ht="26.25">
      <c r="Y364" s="6"/>
      <c r="Z364" s="6"/>
    </row>
    <row r="365" spans="25:26" ht="26.25">
      <c r="Y365" s="6"/>
      <c r="Z365" s="6"/>
    </row>
    <row r="366" spans="25:26" ht="26.25">
      <c r="Y366" s="6"/>
      <c r="Z366" s="6"/>
    </row>
    <row r="367" spans="25:26" ht="26.25">
      <c r="Y367" s="6"/>
      <c r="Z367" s="6"/>
    </row>
    <row r="368" spans="25:26" ht="26.25">
      <c r="Y368" s="6"/>
      <c r="Z368" s="6"/>
    </row>
    <row r="369" spans="25:26" ht="26.25">
      <c r="Y369" s="6"/>
      <c r="Z369" s="6"/>
    </row>
    <row r="370" spans="25:26" ht="26.25">
      <c r="Y370" s="6"/>
      <c r="Z370" s="6"/>
    </row>
    <row r="371" spans="25:26" ht="26.25">
      <c r="Y371" s="6"/>
      <c r="Z371" s="6"/>
    </row>
    <row r="372" spans="25:26" ht="26.25">
      <c r="Y372" s="6"/>
      <c r="Z372" s="6"/>
    </row>
    <row r="373" spans="25:26" ht="26.25">
      <c r="Y373" s="6"/>
      <c r="Z373" s="6"/>
    </row>
    <row r="374" spans="25:26" ht="26.25">
      <c r="Y374" s="6"/>
      <c r="Z374" s="6"/>
    </row>
    <row r="375" spans="25:26" ht="26.25">
      <c r="Y375" s="6"/>
      <c r="Z375" s="6"/>
    </row>
    <row r="376" spans="25:26" ht="26.25">
      <c r="Y376" s="6"/>
      <c r="Z376" s="6"/>
    </row>
    <row r="377" spans="25:26" ht="26.25">
      <c r="Y377" s="6"/>
      <c r="Z377" s="6"/>
    </row>
    <row r="378" spans="25:26" ht="26.25">
      <c r="Y378" s="6"/>
      <c r="Z378" s="6"/>
    </row>
    <row r="379" spans="25:26" ht="26.25">
      <c r="Y379" s="6"/>
      <c r="Z379" s="6"/>
    </row>
    <row r="380" spans="25:26" ht="26.25">
      <c r="Y380" s="6"/>
      <c r="Z380" s="6"/>
    </row>
    <row r="381" spans="25:26" ht="26.25">
      <c r="Y381" s="6"/>
      <c r="Z381" s="6"/>
    </row>
    <row r="382" spans="25:26" ht="26.25">
      <c r="Y382" s="6"/>
      <c r="Z382" s="6"/>
    </row>
    <row r="383" spans="25:26" ht="26.25">
      <c r="Y383" s="6"/>
      <c r="Z383" s="6"/>
    </row>
    <row r="384" spans="25:26" ht="26.25">
      <c r="Y384" s="6"/>
      <c r="Z384" s="6"/>
    </row>
    <row r="385" spans="25:26" ht="26.25">
      <c r="Y385" s="6"/>
      <c r="Z385" s="6"/>
    </row>
    <row r="386" spans="25:26" ht="26.25">
      <c r="Y386" s="6"/>
      <c r="Z386" s="6"/>
    </row>
    <row r="387" spans="25:26" ht="26.25">
      <c r="Y387" s="6"/>
      <c r="Z387" s="6"/>
    </row>
    <row r="388" spans="25:26" ht="26.25">
      <c r="Y388" s="6"/>
      <c r="Z388" s="6"/>
    </row>
    <row r="389" spans="25:26" ht="26.25">
      <c r="Y389" s="6"/>
      <c r="Z389" s="6"/>
    </row>
    <row r="390" spans="25:26" ht="26.25">
      <c r="Y390" s="6"/>
      <c r="Z390" s="6"/>
    </row>
    <row r="391" spans="25:26" ht="26.25">
      <c r="Y391" s="6"/>
      <c r="Z391" s="6"/>
    </row>
    <row r="392" spans="25:26" ht="26.25">
      <c r="Y392" s="6"/>
      <c r="Z392" s="6"/>
    </row>
    <row r="393" spans="25:26" ht="26.25">
      <c r="Y393" s="6"/>
      <c r="Z393" s="6"/>
    </row>
    <row r="394" spans="25:26" ht="26.25">
      <c r="Y394" s="6"/>
      <c r="Z394" s="6"/>
    </row>
    <row r="395" spans="25:26" ht="26.25">
      <c r="Y395" s="6"/>
      <c r="Z395" s="6"/>
    </row>
    <row r="396" spans="25:26" ht="26.25">
      <c r="Y396" s="6"/>
      <c r="Z396" s="6"/>
    </row>
    <row r="397" spans="25:26" ht="26.25">
      <c r="Y397" s="6"/>
      <c r="Z397" s="6"/>
    </row>
    <row r="398" spans="25:26" ht="26.25">
      <c r="Y398" s="6"/>
      <c r="Z398" s="6"/>
    </row>
    <row r="399" spans="25:26" ht="26.25">
      <c r="Y399" s="6"/>
      <c r="Z399" s="6"/>
    </row>
    <row r="400" spans="25:26" ht="26.25">
      <c r="Y400" s="6"/>
      <c r="Z400" s="6"/>
    </row>
    <row r="401" spans="25:26" ht="26.25">
      <c r="Y401" s="6"/>
      <c r="Z401" s="6"/>
    </row>
    <row r="402" spans="25:26" ht="26.25">
      <c r="Y402" s="6"/>
      <c r="Z402" s="6"/>
    </row>
    <row r="403" spans="25:26" ht="26.25">
      <c r="Y403" s="6"/>
      <c r="Z403" s="6"/>
    </row>
    <row r="404" spans="25:26" ht="26.25">
      <c r="Y404" s="6"/>
      <c r="Z404" s="6"/>
    </row>
    <row r="405" spans="25:26" ht="26.25">
      <c r="Y405" s="6"/>
      <c r="Z405" s="6"/>
    </row>
    <row r="406" spans="25:26" ht="26.25">
      <c r="Y406" s="6"/>
      <c r="Z406" s="6"/>
    </row>
    <row r="407" spans="25:26" ht="26.25">
      <c r="Y407" s="6"/>
      <c r="Z407" s="6"/>
    </row>
    <row r="408" spans="25:26" ht="26.25">
      <c r="Y408" s="6"/>
      <c r="Z408" s="6"/>
    </row>
    <row r="409" spans="25:26" ht="26.25">
      <c r="Y409" s="6"/>
      <c r="Z409" s="6"/>
    </row>
    <row r="410" spans="25:26" ht="26.25">
      <c r="Y410" s="6"/>
      <c r="Z410" s="6"/>
    </row>
    <row r="411" spans="25:26" ht="26.25">
      <c r="Y411" s="6"/>
      <c r="Z411" s="6"/>
    </row>
    <row r="412" spans="25:26" ht="26.25">
      <c r="Y412" s="6"/>
      <c r="Z412" s="6"/>
    </row>
    <row r="413" spans="25:26" ht="26.25">
      <c r="Y413" s="6"/>
      <c r="Z413" s="6"/>
    </row>
    <row r="414" spans="25:26" ht="26.25">
      <c r="Y414" s="6"/>
      <c r="Z414" s="6"/>
    </row>
    <row r="415" spans="25:26" ht="26.25">
      <c r="Y415" s="6"/>
      <c r="Z415" s="6"/>
    </row>
    <row r="416" spans="25:26" ht="26.25">
      <c r="Y416" s="6"/>
      <c r="Z416" s="6"/>
    </row>
    <row r="417" spans="25:26" ht="26.25">
      <c r="Y417" s="6"/>
      <c r="Z417" s="6"/>
    </row>
    <row r="418" spans="25:26" ht="26.25">
      <c r="Y418" s="6"/>
      <c r="Z418" s="6"/>
    </row>
    <row r="419" spans="25:26" ht="26.25">
      <c r="Y419" s="6"/>
      <c r="Z419" s="6"/>
    </row>
    <row r="420" spans="25:26" ht="26.25">
      <c r="Y420" s="6"/>
      <c r="Z420" s="6"/>
    </row>
    <row r="421" spans="25:26" ht="26.25">
      <c r="Y421" s="6"/>
      <c r="Z421" s="6"/>
    </row>
    <row r="422" spans="25:26" ht="26.25">
      <c r="Y422" s="6"/>
      <c r="Z422" s="6"/>
    </row>
    <row r="423" spans="25:26" ht="26.25">
      <c r="Y423" s="6"/>
      <c r="Z423" s="6"/>
    </row>
    <row r="424" spans="25:26" ht="26.25">
      <c r="Y424" s="6"/>
      <c r="Z424" s="6"/>
    </row>
    <row r="425" spans="25:26" ht="26.25">
      <c r="Y425" s="6"/>
      <c r="Z425" s="6"/>
    </row>
    <row r="426" spans="25:26" ht="26.25">
      <c r="Y426" s="6"/>
      <c r="Z426" s="6"/>
    </row>
    <row r="427" spans="25:26" ht="26.25">
      <c r="Y427" s="6"/>
      <c r="Z427" s="6"/>
    </row>
    <row r="428" spans="25:26" ht="26.25">
      <c r="Y428" s="6"/>
      <c r="Z428" s="6"/>
    </row>
    <row r="429" spans="25:26" ht="26.25">
      <c r="Y429" s="6"/>
      <c r="Z429" s="6"/>
    </row>
    <row r="430" spans="25:26" ht="26.25">
      <c r="Y430" s="6"/>
      <c r="Z430" s="6"/>
    </row>
    <row r="431" spans="25:26" ht="26.25">
      <c r="Y431" s="6"/>
      <c r="Z431" s="6"/>
    </row>
    <row r="432" spans="25:26" ht="26.25">
      <c r="Y432" s="6"/>
      <c r="Z432" s="6"/>
    </row>
    <row r="433" spans="25:26" ht="26.25">
      <c r="Y433" s="6"/>
      <c r="Z433" s="6"/>
    </row>
    <row r="434" spans="25:26" ht="26.25">
      <c r="Y434" s="6"/>
      <c r="Z434" s="6"/>
    </row>
    <row r="435" spans="25:26" ht="26.25">
      <c r="Y435" s="6"/>
      <c r="Z435" s="6"/>
    </row>
    <row r="436" spans="25:26" ht="26.25">
      <c r="Y436" s="6"/>
      <c r="Z436" s="6"/>
    </row>
    <row r="437" spans="25:26" ht="26.25">
      <c r="Y437" s="6"/>
      <c r="Z437" s="6"/>
    </row>
    <row r="438" spans="25:26" ht="26.25">
      <c r="Y438" s="6"/>
      <c r="Z438" s="6"/>
    </row>
    <row r="439" spans="25:26" ht="26.25">
      <c r="Y439" s="6"/>
      <c r="Z439" s="6"/>
    </row>
    <row r="440" spans="25:26" ht="26.25">
      <c r="Y440" s="6"/>
      <c r="Z440" s="6"/>
    </row>
    <row r="441" spans="25:26" ht="26.25">
      <c r="Y441" s="6"/>
      <c r="Z441" s="6"/>
    </row>
    <row r="442" spans="25:26" ht="26.25">
      <c r="Y442" s="6"/>
      <c r="Z442" s="6"/>
    </row>
    <row r="443" spans="25:26" ht="26.25">
      <c r="Y443" s="6"/>
      <c r="Z443" s="6"/>
    </row>
    <row r="444" spans="25:26" ht="26.25">
      <c r="Y444" s="6"/>
      <c r="Z444" s="6"/>
    </row>
    <row r="445" spans="25:26" ht="26.25">
      <c r="Y445" s="6"/>
      <c r="Z445" s="6"/>
    </row>
    <row r="446" spans="25:26" ht="26.25">
      <c r="Y446" s="6"/>
      <c r="Z446" s="6"/>
    </row>
    <row r="447" spans="25:26" ht="26.25">
      <c r="Y447" s="6"/>
      <c r="Z447" s="6"/>
    </row>
    <row r="448" spans="25:26" ht="26.25">
      <c r="Y448" s="6"/>
      <c r="Z448" s="6"/>
    </row>
    <row r="449" spans="25:26" ht="26.25">
      <c r="Y449" s="6"/>
      <c r="Z449" s="6"/>
    </row>
    <row r="450" spans="25:26" ht="26.25">
      <c r="Y450" s="6"/>
      <c r="Z450" s="6"/>
    </row>
    <row r="451" spans="25:26" ht="26.25">
      <c r="Y451" s="6"/>
      <c r="Z451" s="6"/>
    </row>
    <row r="452" spans="25:26" ht="26.25">
      <c r="Y452" s="6"/>
      <c r="Z452" s="6"/>
    </row>
    <row r="453" spans="25:26" ht="26.25">
      <c r="Y453" s="6"/>
      <c r="Z453" s="6"/>
    </row>
    <row r="454" spans="25:26" ht="26.25">
      <c r="Y454" s="6"/>
      <c r="Z454" s="6"/>
    </row>
    <row r="455" spans="25:26" ht="26.25">
      <c r="Y455" s="6"/>
      <c r="Z455" s="6"/>
    </row>
    <row r="456" spans="25:26" ht="26.25">
      <c r="Y456" s="6"/>
      <c r="Z456" s="6"/>
    </row>
    <row r="457" spans="25:26" ht="26.25">
      <c r="Y457" s="6"/>
      <c r="Z457" s="6"/>
    </row>
    <row r="458" spans="25:26" ht="26.25">
      <c r="Y458" s="6"/>
      <c r="Z458" s="6"/>
    </row>
    <row r="459" spans="25:26" ht="26.25">
      <c r="Y459" s="6"/>
      <c r="Z459" s="6"/>
    </row>
    <row r="460" spans="25:26" ht="26.25">
      <c r="Y460" s="6"/>
      <c r="Z460" s="6"/>
    </row>
    <row r="461" spans="25:26" ht="26.25">
      <c r="Y461" s="6"/>
      <c r="Z461" s="6"/>
    </row>
    <row r="462" spans="25:26" ht="26.25">
      <c r="Y462" s="6"/>
      <c r="Z462" s="6"/>
    </row>
    <row r="463" spans="25:26" ht="26.25">
      <c r="Y463" s="6"/>
      <c r="Z463" s="6"/>
    </row>
    <row r="464" spans="25:26" ht="26.25">
      <c r="Y464" s="6"/>
      <c r="Z464" s="6"/>
    </row>
    <row r="465" spans="25:26" ht="26.25">
      <c r="Y465" s="6"/>
      <c r="Z465" s="6"/>
    </row>
    <row r="466" spans="25:26" ht="26.25">
      <c r="Y466" s="6"/>
      <c r="Z466" s="6"/>
    </row>
    <row r="467" spans="25:26" ht="26.25">
      <c r="Y467" s="6"/>
      <c r="Z467" s="6"/>
    </row>
    <row r="468" spans="25:26" ht="26.25">
      <c r="Y468" s="6"/>
      <c r="Z468" s="6"/>
    </row>
    <row r="469" spans="25:26" ht="26.25">
      <c r="Y469" s="6"/>
      <c r="Z469" s="6"/>
    </row>
    <row r="470" spans="25:26" ht="26.25">
      <c r="Y470" s="6"/>
      <c r="Z470" s="6"/>
    </row>
    <row r="471" spans="25:26" ht="26.25">
      <c r="Y471" s="6"/>
      <c r="Z471" s="6"/>
    </row>
    <row r="472" spans="25:26" ht="26.25">
      <c r="Y472" s="6"/>
      <c r="Z472" s="6"/>
    </row>
    <row r="473" spans="25:26" ht="26.25">
      <c r="Y473" s="6"/>
      <c r="Z473" s="6"/>
    </row>
    <row r="474" spans="25:26" ht="26.25">
      <c r="Y474" s="6"/>
      <c r="Z474" s="6"/>
    </row>
    <row r="475" spans="25:26" ht="26.25">
      <c r="Y475" s="6"/>
      <c r="Z475" s="6"/>
    </row>
    <row r="476" spans="25:26" ht="26.25">
      <c r="Y476" s="6"/>
      <c r="Z476" s="6"/>
    </row>
    <row r="477" spans="25:26" ht="26.25">
      <c r="Y477" s="6"/>
      <c r="Z477" s="6"/>
    </row>
    <row r="478" spans="25:26" ht="26.25">
      <c r="Y478" s="6"/>
      <c r="Z478" s="6"/>
    </row>
    <row r="479" spans="25:26" ht="26.25">
      <c r="Y479" s="6"/>
      <c r="Z479" s="6"/>
    </row>
    <row r="480" spans="25:26" ht="26.25">
      <c r="Y480" s="6"/>
      <c r="Z480" s="6"/>
    </row>
    <row r="481" spans="25:26" ht="26.25">
      <c r="Y481" s="6"/>
      <c r="Z481" s="6"/>
    </row>
    <row r="482" spans="25:26" ht="26.25">
      <c r="Y482" s="6"/>
      <c r="Z482" s="6"/>
    </row>
    <row r="483" spans="25:26" ht="26.25">
      <c r="Y483" s="6"/>
      <c r="Z483" s="6"/>
    </row>
    <row r="484" spans="25:26" ht="26.25">
      <c r="Y484" s="6"/>
      <c r="Z484" s="6"/>
    </row>
    <row r="485" spans="25:26" ht="26.25">
      <c r="Y485" s="6"/>
      <c r="Z485" s="6"/>
    </row>
    <row r="486" spans="25:26" ht="26.25">
      <c r="Y486" s="6"/>
      <c r="Z486" s="6"/>
    </row>
    <row r="487" spans="25:26" ht="26.25">
      <c r="Y487" s="6"/>
      <c r="Z487" s="6"/>
    </row>
    <row r="488" spans="25:26" ht="26.25">
      <c r="Y488" s="6"/>
      <c r="Z488" s="6"/>
    </row>
    <row r="489" spans="25:26" ht="26.25">
      <c r="Y489" s="6"/>
      <c r="Z489" s="6"/>
    </row>
    <row r="490" spans="25:26" ht="26.25">
      <c r="Y490" s="6"/>
      <c r="Z490" s="6"/>
    </row>
    <row r="491" spans="25:26" ht="26.25">
      <c r="Y491" s="6"/>
      <c r="Z491" s="6"/>
    </row>
    <row r="492" spans="25:26" ht="26.25">
      <c r="Y492" s="6"/>
      <c r="Z492" s="6"/>
    </row>
    <row r="493" spans="25:26" ht="26.25">
      <c r="Y493" s="6"/>
      <c r="Z493" s="6"/>
    </row>
    <row r="494" spans="25:26" ht="26.25">
      <c r="Y494" s="6"/>
      <c r="Z494" s="6"/>
    </row>
    <row r="495" spans="25:26" ht="26.25">
      <c r="Y495" s="6"/>
      <c r="Z495" s="6"/>
    </row>
    <row r="496" spans="25:26" ht="26.25">
      <c r="Y496" s="6"/>
      <c r="Z496" s="6"/>
    </row>
    <row r="497" spans="25:26" ht="26.25">
      <c r="Y497" s="6"/>
      <c r="Z497" s="6"/>
    </row>
    <row r="498" spans="25:26" ht="26.25">
      <c r="Y498" s="6"/>
      <c r="Z498" s="6"/>
    </row>
    <row r="499" spans="25:26" ht="26.25">
      <c r="Y499" s="6"/>
      <c r="Z499" s="6"/>
    </row>
    <row r="500" spans="25:26" ht="26.25">
      <c r="Y500" s="6"/>
      <c r="Z500" s="6"/>
    </row>
    <row r="501" spans="25:26" ht="26.25">
      <c r="Y501" s="6"/>
      <c r="Z501" s="6"/>
    </row>
    <row r="502" spans="25:26" ht="26.25">
      <c r="Y502" s="6"/>
      <c r="Z502" s="6"/>
    </row>
    <row r="503" spans="25:26" ht="26.25">
      <c r="Y503" s="6"/>
      <c r="Z503" s="6"/>
    </row>
    <row r="504" spans="25:26" ht="26.25">
      <c r="Y504" s="6"/>
      <c r="Z504" s="6"/>
    </row>
  </sheetData>
  <sheetProtection/>
  <mergeCells count="17">
    <mergeCell ref="A1:AP1"/>
    <mergeCell ref="A2:AP2"/>
    <mergeCell ref="A4:A5"/>
    <mergeCell ref="B4:B5"/>
    <mergeCell ref="C4:C5"/>
    <mergeCell ref="D4:I4"/>
    <mergeCell ref="K4:P4"/>
    <mergeCell ref="R4:W4"/>
    <mergeCell ref="Y4:AE4"/>
    <mergeCell ref="AF4:AL4"/>
    <mergeCell ref="BA48:BE48"/>
    <mergeCell ref="AM4:AS4"/>
    <mergeCell ref="AT4:AZ4"/>
    <mergeCell ref="B48:E48"/>
    <mergeCell ref="U48:V48"/>
    <mergeCell ref="AT48:AW48"/>
    <mergeCell ref="AY48:AZ48"/>
  </mergeCells>
  <printOptions/>
  <pageMargins left="0" right="0" top="0" bottom="0" header="0.1968503937007874" footer="0.2755905511811024"/>
  <pageSetup horizontalDpi="600" verticalDpi="600" orientation="landscape" paperSize="9" scale="23" r:id="rId1"/>
  <colBreaks count="2" manualBreakCount="2">
    <brk id="24" max="47" man="1"/>
    <brk id="45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M504"/>
  <sheetViews>
    <sheetView view="pageBreakPreview" zoomScale="50" zoomScaleNormal="23" zoomScaleSheetLayoutView="50" zoomScalePageLayoutView="0" workbookViewId="0" topLeftCell="A1">
      <pane xSplit="2" ySplit="6" topLeftCell="W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31" sqref="G31"/>
    </sheetView>
  </sheetViews>
  <sheetFormatPr defaultColWidth="9.00390625" defaultRowHeight="12.75"/>
  <cols>
    <col min="1" max="1" width="8.625" style="5" customWidth="1"/>
    <col min="2" max="2" width="74.00390625" style="5" customWidth="1"/>
    <col min="3" max="3" width="10.00390625" style="5" customWidth="1"/>
    <col min="4" max="4" width="26.00390625" style="6" customWidth="1"/>
    <col min="5" max="5" width="25.25390625" style="92" customWidth="1"/>
    <col min="6" max="6" width="23.875" style="92" customWidth="1"/>
    <col min="7" max="7" width="24.625" style="92" customWidth="1"/>
    <col min="8" max="8" width="22.125" style="92" customWidth="1"/>
    <col min="9" max="9" width="25.875" style="92" customWidth="1"/>
    <col min="10" max="10" width="23.00390625" style="92" customWidth="1"/>
    <col min="11" max="11" width="19.375" style="6" customWidth="1"/>
    <col min="12" max="12" width="18.375" style="6" customWidth="1"/>
    <col min="13" max="13" width="16.625" style="6" customWidth="1"/>
    <col min="14" max="14" width="18.00390625" style="6" customWidth="1"/>
    <col min="15" max="15" width="16.25390625" style="6" customWidth="1"/>
    <col min="16" max="17" width="18.25390625" style="6" customWidth="1"/>
    <col min="18" max="18" width="24.125" style="6" customWidth="1"/>
    <col min="19" max="19" width="23.625" style="6" customWidth="1"/>
    <col min="20" max="20" width="24.00390625" style="6" customWidth="1"/>
    <col min="21" max="21" width="25.625" style="6" customWidth="1"/>
    <col min="22" max="22" width="25.00390625" style="6" customWidth="1"/>
    <col min="23" max="24" width="26.625" style="6" customWidth="1"/>
    <col min="25" max="25" width="21.625" style="95" customWidth="1"/>
    <col min="26" max="26" width="27.25390625" style="92" customWidth="1"/>
    <col min="27" max="27" width="23.25390625" style="92" customWidth="1"/>
    <col min="28" max="28" width="24.75390625" style="92" customWidth="1"/>
    <col min="29" max="29" width="22.75390625" style="92" customWidth="1"/>
    <col min="30" max="30" width="25.375" style="92" customWidth="1"/>
    <col min="31" max="31" width="23.125" style="92" customWidth="1"/>
    <col min="32" max="32" width="17.375" style="6" customWidth="1"/>
    <col min="33" max="33" width="17.75390625" style="6" customWidth="1"/>
    <col min="34" max="34" width="17.875" style="6" customWidth="1"/>
    <col min="35" max="35" width="17.00390625" style="6" customWidth="1"/>
    <col min="36" max="36" width="16.125" style="6" customWidth="1"/>
    <col min="37" max="37" width="17.25390625" style="6" customWidth="1"/>
    <col min="38" max="38" width="19.625" style="6" customWidth="1"/>
    <col min="39" max="39" width="26.875" style="6" customWidth="1"/>
    <col min="40" max="40" width="24.375" style="6" customWidth="1"/>
    <col min="41" max="41" width="25.375" style="6" customWidth="1"/>
    <col min="42" max="42" width="25.625" style="6" customWidth="1"/>
    <col min="43" max="43" width="28.75390625" style="6" customWidth="1"/>
    <col min="44" max="45" width="26.25390625" style="6" customWidth="1"/>
    <col min="46" max="46" width="25.625" style="93" customWidth="1"/>
    <col min="47" max="48" width="25.625" style="6" customWidth="1"/>
    <col min="49" max="49" width="27.875" style="6" customWidth="1"/>
    <col min="50" max="50" width="25.625" style="6" customWidth="1"/>
    <col min="51" max="51" width="27.125" style="6" customWidth="1"/>
    <col min="52" max="52" width="25.375" style="6" customWidth="1"/>
    <col min="53" max="65" width="9.125" style="4" customWidth="1"/>
    <col min="66" max="16384" width="9.125" style="5" customWidth="1"/>
  </cols>
  <sheetData>
    <row r="1" spans="1:52" ht="36" customHeight="1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1"/>
      <c r="AR1" s="1"/>
      <c r="AS1" s="1"/>
      <c r="AT1" s="2"/>
      <c r="AU1" s="3"/>
      <c r="AV1" s="3"/>
      <c r="AW1" s="3"/>
      <c r="AX1" s="3"/>
      <c r="AY1" s="3"/>
      <c r="AZ1" s="3"/>
    </row>
    <row r="2" spans="1:52" ht="30" customHeight="1">
      <c r="A2" s="215" t="s">
        <v>51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1"/>
      <c r="AR2" s="1"/>
      <c r="AS2" s="1"/>
      <c r="AT2" s="2"/>
      <c r="AU2" s="3"/>
      <c r="AV2" s="3"/>
      <c r="AW2" s="3"/>
      <c r="AX2" s="3"/>
      <c r="AY2" s="3"/>
      <c r="AZ2" s="3"/>
    </row>
    <row r="3" spans="1:46" ht="11.25" customHeight="1" thickBot="1">
      <c r="A3" s="1"/>
      <c r="B3" s="1"/>
      <c r="D3" s="3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2"/>
    </row>
    <row r="4" spans="1:65" s="8" customFormat="1" ht="30.75" customHeight="1">
      <c r="A4" s="216"/>
      <c r="B4" s="218" t="s">
        <v>7</v>
      </c>
      <c r="C4" s="218"/>
      <c r="D4" s="209" t="s">
        <v>30</v>
      </c>
      <c r="E4" s="210"/>
      <c r="F4" s="210"/>
      <c r="G4" s="210"/>
      <c r="H4" s="210"/>
      <c r="I4" s="220"/>
      <c r="J4" s="111"/>
      <c r="K4" s="209" t="s">
        <v>11</v>
      </c>
      <c r="L4" s="210"/>
      <c r="M4" s="210"/>
      <c r="N4" s="210"/>
      <c r="O4" s="210"/>
      <c r="P4" s="220"/>
      <c r="Q4" s="111"/>
      <c r="R4" s="209" t="s">
        <v>31</v>
      </c>
      <c r="S4" s="210"/>
      <c r="T4" s="210"/>
      <c r="U4" s="210"/>
      <c r="V4" s="210"/>
      <c r="W4" s="220"/>
      <c r="X4" s="111"/>
      <c r="Y4" s="209" t="s">
        <v>8</v>
      </c>
      <c r="Z4" s="210"/>
      <c r="AA4" s="210"/>
      <c r="AB4" s="210"/>
      <c r="AC4" s="210"/>
      <c r="AD4" s="210"/>
      <c r="AE4" s="220"/>
      <c r="AF4" s="221" t="s">
        <v>10</v>
      </c>
      <c r="AG4" s="222"/>
      <c r="AH4" s="222"/>
      <c r="AI4" s="222"/>
      <c r="AJ4" s="222"/>
      <c r="AK4" s="222"/>
      <c r="AL4" s="223"/>
      <c r="AM4" s="209" t="s">
        <v>32</v>
      </c>
      <c r="AN4" s="210"/>
      <c r="AO4" s="210"/>
      <c r="AP4" s="210"/>
      <c r="AQ4" s="210"/>
      <c r="AR4" s="210"/>
      <c r="AS4" s="210"/>
      <c r="AT4" s="211" t="s">
        <v>33</v>
      </c>
      <c r="AU4" s="210"/>
      <c r="AV4" s="210"/>
      <c r="AW4" s="210"/>
      <c r="AX4" s="210"/>
      <c r="AY4" s="210"/>
      <c r="AZ4" s="212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52" ht="50.25" customHeight="1">
      <c r="A5" s="217"/>
      <c r="B5" s="219"/>
      <c r="C5" s="219"/>
      <c r="D5" s="11" t="s">
        <v>6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12" t="s">
        <v>36</v>
      </c>
      <c r="K5" s="11" t="s">
        <v>6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36</v>
      </c>
      <c r="R5" s="11" t="s">
        <v>6</v>
      </c>
      <c r="S5" s="12" t="s">
        <v>12</v>
      </c>
      <c r="T5" s="12" t="s">
        <v>13</v>
      </c>
      <c r="U5" s="12" t="s">
        <v>14</v>
      </c>
      <c r="V5" s="12" t="s">
        <v>15</v>
      </c>
      <c r="W5" s="12" t="s">
        <v>16</v>
      </c>
      <c r="X5" s="12" t="s">
        <v>36</v>
      </c>
      <c r="Y5" s="11" t="s">
        <v>6</v>
      </c>
      <c r="Z5" s="12" t="s">
        <v>12</v>
      </c>
      <c r="AA5" s="12" t="s">
        <v>13</v>
      </c>
      <c r="AB5" s="12" t="s">
        <v>14</v>
      </c>
      <c r="AC5" s="12" t="s">
        <v>15</v>
      </c>
      <c r="AD5" s="12" t="s">
        <v>16</v>
      </c>
      <c r="AE5" s="12" t="s">
        <v>36</v>
      </c>
      <c r="AF5" s="11" t="s">
        <v>6</v>
      </c>
      <c r="AG5" s="12" t="s">
        <v>12</v>
      </c>
      <c r="AH5" s="12" t="s">
        <v>13</v>
      </c>
      <c r="AI5" s="12" t="s">
        <v>14</v>
      </c>
      <c r="AJ5" s="12" t="s">
        <v>15</v>
      </c>
      <c r="AK5" s="12" t="s">
        <v>16</v>
      </c>
      <c r="AL5" s="12" t="s">
        <v>36</v>
      </c>
      <c r="AM5" s="14" t="s">
        <v>6</v>
      </c>
      <c r="AN5" s="12" t="s">
        <v>12</v>
      </c>
      <c r="AO5" s="12" t="s">
        <v>13</v>
      </c>
      <c r="AP5" s="12" t="s">
        <v>14</v>
      </c>
      <c r="AQ5" s="12" t="s">
        <v>15</v>
      </c>
      <c r="AR5" s="12" t="s">
        <v>16</v>
      </c>
      <c r="AS5" s="112" t="s">
        <v>36</v>
      </c>
      <c r="AT5" s="114" t="s">
        <v>6</v>
      </c>
      <c r="AU5" s="16" t="s">
        <v>12</v>
      </c>
      <c r="AV5" s="16" t="s">
        <v>13</v>
      </c>
      <c r="AW5" s="16" t="s">
        <v>14</v>
      </c>
      <c r="AX5" s="16" t="s">
        <v>15</v>
      </c>
      <c r="AY5" s="16" t="s">
        <v>16</v>
      </c>
      <c r="AZ5" s="110" t="s">
        <v>36</v>
      </c>
    </row>
    <row r="6" spans="1:65" s="22" customFormat="1" ht="25.5" customHeight="1" thickBot="1">
      <c r="A6" s="17"/>
      <c r="B6" s="18">
        <v>2</v>
      </c>
      <c r="C6" s="18"/>
      <c r="D6" s="19">
        <v>3</v>
      </c>
      <c r="E6" s="18"/>
      <c r="F6" s="18"/>
      <c r="G6" s="18"/>
      <c r="H6" s="18"/>
      <c r="I6" s="18"/>
      <c r="J6" s="18"/>
      <c r="K6" s="19">
        <v>4</v>
      </c>
      <c r="L6" s="20"/>
      <c r="M6" s="20"/>
      <c r="N6" s="20"/>
      <c r="O6" s="20"/>
      <c r="P6" s="20"/>
      <c r="Q6" s="20"/>
      <c r="R6" s="19">
        <v>5</v>
      </c>
      <c r="S6" s="20"/>
      <c r="T6" s="20"/>
      <c r="U6" s="20"/>
      <c r="V6" s="20"/>
      <c r="W6" s="20"/>
      <c r="X6" s="20"/>
      <c r="Y6" s="19">
        <v>6</v>
      </c>
      <c r="Z6" s="18"/>
      <c r="AA6" s="18"/>
      <c r="AB6" s="18"/>
      <c r="AC6" s="18"/>
      <c r="AD6" s="18"/>
      <c r="AE6" s="18"/>
      <c r="AF6" s="19">
        <v>7</v>
      </c>
      <c r="AG6" s="20"/>
      <c r="AH6" s="20"/>
      <c r="AI6" s="20"/>
      <c r="AJ6" s="20"/>
      <c r="AK6" s="20"/>
      <c r="AL6" s="20"/>
      <c r="AM6" s="19">
        <v>8</v>
      </c>
      <c r="AN6" s="20"/>
      <c r="AO6" s="20"/>
      <c r="AP6" s="20"/>
      <c r="AQ6" s="20"/>
      <c r="AR6" s="20"/>
      <c r="AS6" s="113"/>
      <c r="AT6" s="115">
        <v>9</v>
      </c>
      <c r="AU6" s="116"/>
      <c r="AV6" s="116"/>
      <c r="AW6" s="116"/>
      <c r="AX6" s="116"/>
      <c r="AY6" s="116"/>
      <c r="AZ6" s="117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</row>
    <row r="7" spans="1:65" s="29" customFormat="1" ht="43.5" customHeight="1" thickBot="1">
      <c r="A7" s="23">
        <v>1</v>
      </c>
      <c r="B7" s="24" t="s">
        <v>2</v>
      </c>
      <c r="C7" s="24" t="s">
        <v>4</v>
      </c>
      <c r="D7" s="26">
        <f aca="true" t="shared" si="0" ref="D7:J7">SUM(D8:D18)</f>
        <v>1.2985109409278293</v>
      </c>
      <c r="E7" s="25">
        <f t="shared" si="0"/>
        <v>0</v>
      </c>
      <c r="F7" s="25">
        <f t="shared" si="0"/>
        <v>0</v>
      </c>
      <c r="G7" s="26">
        <f t="shared" si="0"/>
        <v>1.2985109409278293</v>
      </c>
      <c r="H7" s="25">
        <f t="shared" si="0"/>
        <v>0</v>
      </c>
      <c r="I7" s="25">
        <f t="shared" si="0"/>
        <v>0</v>
      </c>
      <c r="J7" s="25">
        <f t="shared" si="0"/>
        <v>0</v>
      </c>
      <c r="K7" s="27">
        <f aca="true" t="shared" si="1" ref="K7:P7">R7/D7</f>
        <v>1244.41</v>
      </c>
      <c r="L7" s="27" t="e">
        <f t="shared" si="1"/>
        <v>#DIV/0!</v>
      </c>
      <c r="M7" s="27" t="e">
        <f t="shared" si="1"/>
        <v>#DIV/0!</v>
      </c>
      <c r="N7" s="27">
        <f t="shared" si="1"/>
        <v>1244.41</v>
      </c>
      <c r="O7" s="27" t="e">
        <f t="shared" si="1"/>
        <v>#DIV/0!</v>
      </c>
      <c r="P7" s="27" t="e">
        <f t="shared" si="1"/>
        <v>#DIV/0!</v>
      </c>
      <c r="Q7" s="27" t="e">
        <f>Y7/J7</f>
        <v>#DIV/0!</v>
      </c>
      <c r="R7" s="27">
        <f aca="true" t="shared" si="2" ref="R7:AE7">SUM(R8:R18)</f>
        <v>1615.88</v>
      </c>
      <c r="S7" s="27">
        <f t="shared" si="2"/>
        <v>0</v>
      </c>
      <c r="T7" s="27">
        <f t="shared" si="2"/>
        <v>0</v>
      </c>
      <c r="U7" s="27">
        <f t="shared" si="2"/>
        <v>1615.88</v>
      </c>
      <c r="V7" s="27">
        <f t="shared" si="2"/>
        <v>0</v>
      </c>
      <c r="W7" s="27">
        <f t="shared" si="2"/>
        <v>0</v>
      </c>
      <c r="X7" s="27">
        <f t="shared" si="2"/>
        <v>0</v>
      </c>
      <c r="Y7" s="59">
        <f t="shared" si="2"/>
        <v>-33.53776488456377</v>
      </c>
      <c r="Z7" s="59">
        <f t="shared" si="2"/>
        <v>0</v>
      </c>
      <c r="AA7" s="59">
        <f t="shared" si="2"/>
        <v>0</v>
      </c>
      <c r="AB7" s="59">
        <f t="shared" si="2"/>
        <v>-33.53776488456377</v>
      </c>
      <c r="AC7" s="59">
        <f t="shared" si="2"/>
        <v>0</v>
      </c>
      <c r="AD7" s="59">
        <f t="shared" si="2"/>
        <v>0</v>
      </c>
      <c r="AE7" s="59">
        <f t="shared" si="2"/>
        <v>0</v>
      </c>
      <c r="AF7" s="28">
        <f>AM7/Y7</f>
        <v>1244.41</v>
      </c>
      <c r="AG7" s="28">
        <f>AG12</f>
        <v>1244.41</v>
      </c>
      <c r="AH7" s="28">
        <f>AH12</f>
        <v>1244.41</v>
      </c>
      <c r="AI7" s="28">
        <f>AI12</f>
        <v>1244.41</v>
      </c>
      <c r="AJ7" s="28">
        <f>AJ12</f>
        <v>1244.41</v>
      </c>
      <c r="AK7" s="27">
        <f>AK12</f>
        <v>1244.41</v>
      </c>
      <c r="AL7" s="27">
        <f>AL17</f>
        <v>1122.56</v>
      </c>
      <c r="AM7" s="27">
        <f aca="true" t="shared" si="3" ref="AM7:AZ7">SUM(AM8:AM18)</f>
        <v>-41734.73</v>
      </c>
      <c r="AN7" s="27">
        <f t="shared" si="3"/>
        <v>0</v>
      </c>
      <c r="AO7" s="27">
        <f t="shared" si="3"/>
        <v>0</v>
      </c>
      <c r="AP7" s="27">
        <f t="shared" si="3"/>
        <v>-41734.73</v>
      </c>
      <c r="AQ7" s="27">
        <f t="shared" si="3"/>
        <v>0</v>
      </c>
      <c r="AR7" s="27">
        <f t="shared" si="3"/>
        <v>0</v>
      </c>
      <c r="AS7" s="27">
        <f t="shared" si="3"/>
        <v>0</v>
      </c>
      <c r="AT7" s="118">
        <f t="shared" si="3"/>
        <v>0</v>
      </c>
      <c r="AU7" s="27">
        <f t="shared" si="3"/>
        <v>0</v>
      </c>
      <c r="AV7" s="27">
        <f t="shared" si="3"/>
        <v>0</v>
      </c>
      <c r="AW7" s="27">
        <f t="shared" si="3"/>
        <v>0</v>
      </c>
      <c r="AX7" s="27">
        <f t="shared" si="3"/>
        <v>0</v>
      </c>
      <c r="AY7" s="27">
        <f t="shared" si="3"/>
        <v>0</v>
      </c>
      <c r="AZ7" s="27">
        <f t="shared" si="3"/>
        <v>0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</row>
    <row r="8" spans="1:52" ht="54.75" customHeight="1">
      <c r="A8" s="38"/>
      <c r="B8" s="47" t="s">
        <v>20</v>
      </c>
      <c r="C8" s="48"/>
      <c r="D8" s="49">
        <f aca="true" t="shared" si="4" ref="D8:D16">SUM(E8:I8)</f>
        <v>0</v>
      </c>
      <c r="E8" s="45">
        <f>S8/L8</f>
        <v>0</v>
      </c>
      <c r="F8" s="45"/>
      <c r="G8" s="45"/>
      <c r="H8" s="45"/>
      <c r="I8" s="45"/>
      <c r="J8" s="45"/>
      <c r="K8" s="14" t="e">
        <f aca="true" t="shared" si="5" ref="K8:K45">R8/D8</f>
        <v>#DIV/0!</v>
      </c>
      <c r="L8" s="13">
        <v>4349.75</v>
      </c>
      <c r="M8" s="37"/>
      <c r="N8" s="37"/>
      <c r="O8" s="37"/>
      <c r="P8" s="50"/>
      <c r="Q8" s="13"/>
      <c r="R8" s="15">
        <f aca="true" t="shared" si="6" ref="R8:R16">SUM(S8:W8)</f>
        <v>0</v>
      </c>
      <c r="S8" s="50"/>
      <c r="T8" s="50"/>
      <c r="U8" s="50"/>
      <c r="V8" s="50"/>
      <c r="W8" s="50"/>
      <c r="X8" s="13"/>
      <c r="Y8" s="67">
        <f aca="true" t="shared" si="7" ref="Y8:Y16">SUM(Z8:AD8)</f>
        <v>0</v>
      </c>
      <c r="Z8" s="97">
        <f>AN8/AG8</f>
        <v>0</v>
      </c>
      <c r="AA8" s="97"/>
      <c r="AB8" s="97"/>
      <c r="AC8" s="97"/>
      <c r="AD8" s="97"/>
      <c r="AE8" s="97"/>
      <c r="AF8" s="14">
        <f>AG8</f>
        <v>1244.41</v>
      </c>
      <c r="AG8" s="13">
        <v>1244.41</v>
      </c>
      <c r="AH8" s="13"/>
      <c r="AI8" s="13"/>
      <c r="AJ8" s="13"/>
      <c r="AK8" s="13"/>
      <c r="AL8" s="37"/>
      <c r="AM8" s="15">
        <f aca="true" t="shared" si="8" ref="AM8:AM16">SUM(AN8:AR8)</f>
        <v>0</v>
      </c>
      <c r="AN8" s="50"/>
      <c r="AO8" s="50"/>
      <c r="AP8" s="50"/>
      <c r="AQ8" s="50"/>
      <c r="AR8" s="50"/>
      <c r="AS8" s="13"/>
      <c r="AT8" s="15">
        <f aca="true" t="shared" si="9" ref="AT8:AT16">SUM(AU8:AY8)</f>
        <v>0</v>
      </c>
      <c r="AU8" s="37">
        <f>(L8-AG8)*E8</f>
        <v>0</v>
      </c>
      <c r="AV8" s="37"/>
      <c r="AW8" s="37"/>
      <c r="AX8" s="37"/>
      <c r="AY8" s="37"/>
      <c r="AZ8" s="13"/>
    </row>
    <row r="9" spans="1:52" ht="51.75" customHeight="1">
      <c r="A9" s="38"/>
      <c r="B9" s="47" t="s">
        <v>21</v>
      </c>
      <c r="C9" s="48"/>
      <c r="D9" s="51">
        <f t="shared" si="4"/>
        <v>0</v>
      </c>
      <c r="E9" s="45"/>
      <c r="F9" s="45"/>
      <c r="G9" s="52">
        <f>U9/N9</f>
        <v>0</v>
      </c>
      <c r="H9" s="45"/>
      <c r="I9" s="45"/>
      <c r="J9" s="45"/>
      <c r="K9" s="14" t="e">
        <f t="shared" si="5"/>
        <v>#DIV/0!</v>
      </c>
      <c r="L9" s="13"/>
      <c r="M9" s="37"/>
      <c r="N9" s="37">
        <v>4276.62</v>
      </c>
      <c r="O9" s="53"/>
      <c r="P9" s="50"/>
      <c r="Q9" s="13"/>
      <c r="R9" s="15">
        <f t="shared" si="6"/>
        <v>0</v>
      </c>
      <c r="S9" s="50"/>
      <c r="T9" s="50"/>
      <c r="U9" s="50"/>
      <c r="V9" s="50"/>
      <c r="W9" s="50"/>
      <c r="X9" s="13"/>
      <c r="Y9" s="67">
        <f t="shared" si="7"/>
        <v>0</v>
      </c>
      <c r="Z9" s="97"/>
      <c r="AA9" s="97"/>
      <c r="AB9" s="97">
        <f>AP9/AI9</f>
        <v>0</v>
      </c>
      <c r="AC9" s="97"/>
      <c r="AD9" s="97"/>
      <c r="AE9" s="97"/>
      <c r="AF9" s="14">
        <f>AI9</f>
        <v>1244.41</v>
      </c>
      <c r="AG9" s="13"/>
      <c r="AH9" s="13"/>
      <c r="AI9" s="13">
        <v>1244.41</v>
      </c>
      <c r="AJ9" s="13"/>
      <c r="AK9" s="13"/>
      <c r="AL9" s="37"/>
      <c r="AM9" s="15">
        <f t="shared" si="8"/>
        <v>0</v>
      </c>
      <c r="AN9" s="50"/>
      <c r="AO9" s="50"/>
      <c r="AP9" s="50"/>
      <c r="AQ9" s="50"/>
      <c r="AR9" s="50"/>
      <c r="AS9" s="13"/>
      <c r="AT9" s="15">
        <f t="shared" si="9"/>
        <v>0</v>
      </c>
      <c r="AU9" s="37"/>
      <c r="AV9" s="37"/>
      <c r="AW9" s="37">
        <f>(N9-AI9)*G9</f>
        <v>0</v>
      </c>
      <c r="AX9" s="37"/>
      <c r="AY9" s="37"/>
      <c r="AZ9" s="13"/>
    </row>
    <row r="10" spans="1:52" ht="66.75" customHeight="1">
      <c r="A10" s="40"/>
      <c r="B10" s="54" t="s">
        <v>43</v>
      </c>
      <c r="C10" s="40"/>
      <c r="D10" s="49">
        <f t="shared" si="4"/>
        <v>0</v>
      </c>
      <c r="E10" s="45"/>
      <c r="F10" s="45">
        <f>T10/M10</f>
        <v>0</v>
      </c>
      <c r="G10" s="45"/>
      <c r="H10" s="45"/>
      <c r="I10" s="45"/>
      <c r="J10" s="45"/>
      <c r="K10" s="14" t="e">
        <f t="shared" si="5"/>
        <v>#DIV/0!</v>
      </c>
      <c r="L10" s="13"/>
      <c r="M10" s="37">
        <v>1721.61</v>
      </c>
      <c r="N10" s="37"/>
      <c r="O10" s="37"/>
      <c r="P10" s="13"/>
      <c r="Q10" s="37"/>
      <c r="R10" s="15">
        <f t="shared" si="6"/>
        <v>0</v>
      </c>
      <c r="S10" s="13"/>
      <c r="T10" s="13"/>
      <c r="U10" s="13"/>
      <c r="V10" s="13"/>
      <c r="W10" s="13"/>
      <c r="X10" s="37"/>
      <c r="Y10" s="67">
        <f t="shared" si="7"/>
        <v>0</v>
      </c>
      <c r="Z10" s="97"/>
      <c r="AA10" s="97">
        <f>AO10/AH10</f>
        <v>0</v>
      </c>
      <c r="AB10" s="97"/>
      <c r="AC10" s="97"/>
      <c r="AD10" s="97"/>
      <c r="AE10" s="97"/>
      <c r="AF10" s="14">
        <f>AH10</f>
        <v>1244.41</v>
      </c>
      <c r="AG10" s="13"/>
      <c r="AH10" s="13">
        <v>1244.41</v>
      </c>
      <c r="AI10" s="13"/>
      <c r="AJ10" s="13"/>
      <c r="AK10" s="13"/>
      <c r="AL10" s="37"/>
      <c r="AM10" s="15">
        <f t="shared" si="8"/>
        <v>0</v>
      </c>
      <c r="AN10" s="13"/>
      <c r="AO10" s="13"/>
      <c r="AP10" s="13"/>
      <c r="AQ10" s="13"/>
      <c r="AR10" s="13"/>
      <c r="AS10" s="13"/>
      <c r="AT10" s="15">
        <f t="shared" si="9"/>
        <v>0</v>
      </c>
      <c r="AU10" s="37"/>
      <c r="AV10" s="37">
        <f>(M10-AH10)*F10</f>
        <v>0</v>
      </c>
      <c r="AW10" s="37"/>
      <c r="AX10" s="37"/>
      <c r="AY10" s="37"/>
      <c r="AZ10" s="13"/>
    </row>
    <row r="11" spans="1:52" ht="37.5" customHeight="1">
      <c r="A11" s="40"/>
      <c r="B11" s="54" t="s">
        <v>22</v>
      </c>
      <c r="C11" s="40"/>
      <c r="D11" s="41">
        <f t="shared" si="4"/>
        <v>0</v>
      </c>
      <c r="E11" s="42"/>
      <c r="F11" s="42"/>
      <c r="G11" s="42">
        <f>U11/N11</f>
        <v>0</v>
      </c>
      <c r="H11" s="42"/>
      <c r="I11" s="42"/>
      <c r="J11" s="42"/>
      <c r="K11" s="14" t="e">
        <f t="shared" si="5"/>
        <v>#DIV/0!</v>
      </c>
      <c r="L11" s="13"/>
      <c r="M11" s="13"/>
      <c r="N11" s="13">
        <v>1524.94</v>
      </c>
      <c r="O11" s="13"/>
      <c r="P11" s="13"/>
      <c r="Q11" s="13"/>
      <c r="R11" s="14">
        <f t="shared" si="6"/>
        <v>0</v>
      </c>
      <c r="S11" s="13"/>
      <c r="T11" s="13"/>
      <c r="U11" s="13"/>
      <c r="V11" s="13"/>
      <c r="W11" s="13"/>
      <c r="X11" s="13"/>
      <c r="Y11" s="64">
        <f t="shared" si="7"/>
        <v>0</v>
      </c>
      <c r="Z11" s="65"/>
      <c r="AA11" s="65"/>
      <c r="AB11" s="65">
        <f>AP11/AI11</f>
        <v>0</v>
      </c>
      <c r="AC11" s="65"/>
      <c r="AD11" s="65"/>
      <c r="AE11" s="65"/>
      <c r="AF11" s="14">
        <f>AI11</f>
        <v>1244.41</v>
      </c>
      <c r="AG11" s="13"/>
      <c r="AH11" s="13"/>
      <c r="AI11" s="13">
        <v>1244.41</v>
      </c>
      <c r="AJ11" s="13"/>
      <c r="AK11" s="13"/>
      <c r="AL11" s="13"/>
      <c r="AM11" s="14">
        <f t="shared" si="8"/>
        <v>0</v>
      </c>
      <c r="AN11" s="13"/>
      <c r="AO11" s="13"/>
      <c r="AP11" s="13"/>
      <c r="AQ11" s="13"/>
      <c r="AR11" s="13"/>
      <c r="AS11" s="13"/>
      <c r="AT11" s="14">
        <f t="shared" si="9"/>
        <v>0</v>
      </c>
      <c r="AU11" s="37"/>
      <c r="AV11" s="37"/>
      <c r="AW11" s="37">
        <f>(N11-AI11)*G11</f>
        <v>0</v>
      </c>
      <c r="AX11" s="37"/>
      <c r="AY11" s="37"/>
      <c r="AZ11" s="13"/>
    </row>
    <row r="12" spans="1:52" ht="39" customHeight="1">
      <c r="A12" s="30"/>
      <c r="B12" s="31" t="s">
        <v>17</v>
      </c>
      <c r="C12" s="32"/>
      <c r="D12" s="33">
        <f t="shared" si="4"/>
        <v>0</v>
      </c>
      <c r="E12" s="34">
        <f>S12/L12</f>
        <v>0</v>
      </c>
      <c r="F12" s="34">
        <f>T12/M12</f>
        <v>0</v>
      </c>
      <c r="G12" s="34">
        <f>U12/N12</f>
        <v>0</v>
      </c>
      <c r="H12" s="34">
        <f>V12/O12</f>
        <v>0</v>
      </c>
      <c r="I12" s="34">
        <f>W12/P12</f>
        <v>0</v>
      </c>
      <c r="J12" s="34"/>
      <c r="K12" s="35" t="e">
        <f t="shared" si="5"/>
        <v>#DIV/0!</v>
      </c>
      <c r="L12" s="36">
        <v>2682.32</v>
      </c>
      <c r="M12" s="36">
        <f>L12</f>
        <v>2682.32</v>
      </c>
      <c r="N12" s="36">
        <f>L12</f>
        <v>2682.32</v>
      </c>
      <c r="O12" s="36">
        <f>L12</f>
        <v>2682.32</v>
      </c>
      <c r="P12" s="36">
        <f>L12</f>
        <v>2682.32</v>
      </c>
      <c r="Q12" s="36"/>
      <c r="R12" s="35">
        <f t="shared" si="6"/>
        <v>0</v>
      </c>
      <c r="S12" s="36"/>
      <c r="T12" s="36"/>
      <c r="U12" s="36"/>
      <c r="V12" s="36"/>
      <c r="W12" s="36"/>
      <c r="X12" s="36"/>
      <c r="Y12" s="62">
        <f t="shared" si="7"/>
        <v>-34.8362758254916</v>
      </c>
      <c r="Z12" s="34">
        <f>AN12/AG12</f>
        <v>0</v>
      </c>
      <c r="AA12" s="34">
        <f>AO12/AH12</f>
        <v>0</v>
      </c>
      <c r="AB12" s="34">
        <f>AP12/AI12</f>
        <v>-34.8362758254916</v>
      </c>
      <c r="AC12" s="34">
        <f>AQ12/AJ12</f>
        <v>0</v>
      </c>
      <c r="AD12" s="34">
        <f>AR12/AK12</f>
        <v>0</v>
      </c>
      <c r="AE12" s="34"/>
      <c r="AF12" s="15">
        <f>AG12</f>
        <v>1244.41</v>
      </c>
      <c r="AG12" s="37">
        <v>1244.41</v>
      </c>
      <c r="AH12" s="37">
        <v>1244.41</v>
      </c>
      <c r="AI12" s="37">
        <v>1244.41</v>
      </c>
      <c r="AJ12" s="37">
        <v>1244.41</v>
      </c>
      <c r="AK12" s="37">
        <v>1244.41</v>
      </c>
      <c r="AL12" s="36"/>
      <c r="AM12" s="35">
        <f t="shared" si="8"/>
        <v>-43350.61</v>
      </c>
      <c r="AN12" s="36"/>
      <c r="AO12" s="36"/>
      <c r="AP12" s="36">
        <v>-43350.61</v>
      </c>
      <c r="AQ12" s="36"/>
      <c r="AR12" s="36"/>
      <c r="AS12" s="36"/>
      <c r="AT12" s="35">
        <f t="shared" si="9"/>
        <v>0</v>
      </c>
      <c r="AU12" s="37">
        <f>(L12-AG12)*E12</f>
        <v>0</v>
      </c>
      <c r="AV12" s="37">
        <f>(M12-AH12)*F12</f>
        <v>0</v>
      </c>
      <c r="AW12" s="37">
        <f>(N12-AI12)*G12</f>
        <v>0</v>
      </c>
      <c r="AX12" s="37">
        <f>(O12-AJ12)*H12</f>
        <v>0</v>
      </c>
      <c r="AY12" s="37">
        <f>(P12-AK12)*I12</f>
        <v>0</v>
      </c>
      <c r="AZ12" s="37"/>
    </row>
    <row r="13" spans="1:52" ht="63.75" customHeight="1">
      <c r="A13" s="38"/>
      <c r="B13" s="39" t="s">
        <v>42</v>
      </c>
      <c r="C13" s="40"/>
      <c r="D13" s="41">
        <f t="shared" si="4"/>
        <v>0</v>
      </c>
      <c r="E13" s="42"/>
      <c r="F13" s="42"/>
      <c r="G13" s="42"/>
      <c r="H13" s="42"/>
      <c r="I13" s="42">
        <f>W13/P13</f>
        <v>0</v>
      </c>
      <c r="J13" s="42"/>
      <c r="K13" s="14" t="e">
        <f t="shared" si="5"/>
        <v>#DIV/0!</v>
      </c>
      <c r="L13" s="13"/>
      <c r="M13" s="13"/>
      <c r="N13" s="13"/>
      <c r="O13" s="13"/>
      <c r="P13" s="13">
        <v>2630.16</v>
      </c>
      <c r="Q13" s="13"/>
      <c r="R13" s="14">
        <f t="shared" si="6"/>
        <v>0</v>
      </c>
      <c r="S13" s="13"/>
      <c r="T13" s="13"/>
      <c r="U13" s="13"/>
      <c r="V13" s="13"/>
      <c r="W13" s="13"/>
      <c r="X13" s="13"/>
      <c r="Y13" s="64">
        <f t="shared" si="7"/>
        <v>0</v>
      </c>
      <c r="Z13" s="65"/>
      <c r="AA13" s="65"/>
      <c r="AB13" s="65"/>
      <c r="AC13" s="65"/>
      <c r="AD13" s="65">
        <f>AR13/AK13</f>
        <v>0</v>
      </c>
      <c r="AE13" s="65"/>
      <c r="AF13" s="14">
        <f>AK13</f>
        <v>1244.41</v>
      </c>
      <c r="AG13" s="13"/>
      <c r="AH13" s="13"/>
      <c r="AI13" s="13"/>
      <c r="AJ13" s="13"/>
      <c r="AK13" s="13">
        <v>1244.41</v>
      </c>
      <c r="AL13" s="13"/>
      <c r="AM13" s="14">
        <f t="shared" si="8"/>
        <v>0</v>
      </c>
      <c r="AN13" s="13"/>
      <c r="AO13" s="13"/>
      <c r="AP13" s="13"/>
      <c r="AQ13" s="13"/>
      <c r="AR13" s="13"/>
      <c r="AS13" s="13"/>
      <c r="AT13" s="14">
        <f t="shared" si="9"/>
        <v>0</v>
      </c>
      <c r="AU13" s="37"/>
      <c r="AV13" s="37"/>
      <c r="AW13" s="37"/>
      <c r="AX13" s="37"/>
      <c r="AY13" s="37">
        <f>(P13-AK13)*I13</f>
        <v>0</v>
      </c>
      <c r="AZ13" s="13"/>
    </row>
    <row r="14" spans="1:52" ht="39" customHeight="1">
      <c r="A14" s="38"/>
      <c r="B14" s="54" t="s">
        <v>23</v>
      </c>
      <c r="C14" s="40"/>
      <c r="D14" s="51">
        <f t="shared" si="4"/>
        <v>0</v>
      </c>
      <c r="E14" s="45"/>
      <c r="F14" s="52">
        <f>T14/M14</f>
        <v>0</v>
      </c>
      <c r="G14" s="45"/>
      <c r="H14" s="45"/>
      <c r="I14" s="45"/>
      <c r="J14" s="45"/>
      <c r="K14" s="14" t="e">
        <f t="shared" si="5"/>
        <v>#DIV/0!</v>
      </c>
      <c r="L14" s="13"/>
      <c r="M14" s="37">
        <v>1664.35</v>
      </c>
      <c r="N14" s="37"/>
      <c r="O14" s="37"/>
      <c r="P14" s="13"/>
      <c r="Q14" s="37"/>
      <c r="R14" s="15">
        <f t="shared" si="6"/>
        <v>0</v>
      </c>
      <c r="S14" s="13"/>
      <c r="T14" s="13"/>
      <c r="U14" s="13"/>
      <c r="V14" s="13"/>
      <c r="W14" s="13"/>
      <c r="X14" s="13"/>
      <c r="Y14" s="67">
        <f t="shared" si="7"/>
        <v>0</v>
      </c>
      <c r="Z14" s="97"/>
      <c r="AA14" s="97">
        <f>AO14/AH14</f>
        <v>0</v>
      </c>
      <c r="AB14" s="97"/>
      <c r="AC14" s="97"/>
      <c r="AD14" s="97"/>
      <c r="AE14" s="97"/>
      <c r="AF14" s="14">
        <f>AH14</f>
        <v>1244.41</v>
      </c>
      <c r="AG14" s="13"/>
      <c r="AH14" s="13">
        <v>1244.41</v>
      </c>
      <c r="AI14" s="13"/>
      <c r="AJ14" s="13"/>
      <c r="AK14" s="13"/>
      <c r="AL14" s="37"/>
      <c r="AM14" s="15">
        <f t="shared" si="8"/>
        <v>0</v>
      </c>
      <c r="AN14" s="13"/>
      <c r="AO14" s="13"/>
      <c r="AP14" s="13"/>
      <c r="AQ14" s="13"/>
      <c r="AR14" s="13"/>
      <c r="AS14" s="13"/>
      <c r="AT14" s="15">
        <f t="shared" si="9"/>
        <v>0</v>
      </c>
      <c r="AU14" s="37"/>
      <c r="AV14" s="37">
        <f>(M14-AH14)*F14</f>
        <v>0</v>
      </c>
      <c r="AW14" s="37"/>
      <c r="AX14" s="37"/>
      <c r="AY14" s="37"/>
      <c r="AZ14" s="13"/>
    </row>
    <row r="15" spans="1:52" ht="32.25" customHeight="1">
      <c r="A15" s="38"/>
      <c r="B15" s="39" t="s">
        <v>18</v>
      </c>
      <c r="C15" s="40"/>
      <c r="D15" s="75">
        <f t="shared" si="4"/>
        <v>1.2985109409278293</v>
      </c>
      <c r="E15" s="42"/>
      <c r="F15" s="42"/>
      <c r="G15" s="76">
        <f>U15/N15</f>
        <v>1.2985109409278293</v>
      </c>
      <c r="H15" s="42"/>
      <c r="I15" s="42"/>
      <c r="J15" s="42"/>
      <c r="K15" s="14">
        <f t="shared" si="5"/>
        <v>1244.41</v>
      </c>
      <c r="L15" s="13"/>
      <c r="M15" s="13"/>
      <c r="N15" s="13">
        <v>1244.41</v>
      </c>
      <c r="O15" s="13"/>
      <c r="P15" s="13"/>
      <c r="Q15" s="13"/>
      <c r="R15" s="14">
        <f t="shared" si="6"/>
        <v>1615.88</v>
      </c>
      <c r="S15" s="13"/>
      <c r="T15" s="13"/>
      <c r="U15" s="13">
        <v>1615.88</v>
      </c>
      <c r="V15" s="13"/>
      <c r="W15" s="13"/>
      <c r="X15" s="13"/>
      <c r="Y15" s="64">
        <f t="shared" si="7"/>
        <v>1.2985109409278293</v>
      </c>
      <c r="Z15" s="65"/>
      <c r="AA15" s="65"/>
      <c r="AB15" s="65">
        <f>AP15/AI15</f>
        <v>1.2985109409278293</v>
      </c>
      <c r="AC15" s="65"/>
      <c r="AD15" s="65"/>
      <c r="AE15" s="65"/>
      <c r="AF15" s="14">
        <f>AI15</f>
        <v>1244.41</v>
      </c>
      <c r="AG15" s="13"/>
      <c r="AH15" s="13"/>
      <c r="AI15" s="13">
        <v>1244.41</v>
      </c>
      <c r="AJ15" s="13"/>
      <c r="AK15" s="13"/>
      <c r="AL15" s="13"/>
      <c r="AM15" s="14">
        <f t="shared" si="8"/>
        <v>1615.88</v>
      </c>
      <c r="AN15" s="13"/>
      <c r="AO15" s="13"/>
      <c r="AP15" s="13">
        <v>1615.88</v>
      </c>
      <c r="AQ15" s="13"/>
      <c r="AR15" s="13"/>
      <c r="AS15" s="13"/>
      <c r="AT15" s="14">
        <f t="shared" si="9"/>
        <v>0</v>
      </c>
      <c r="AU15" s="37"/>
      <c r="AV15" s="37"/>
      <c r="AW15" s="37">
        <f>(N15-AI15)*G15</f>
        <v>0</v>
      </c>
      <c r="AX15" s="37"/>
      <c r="AY15" s="37"/>
      <c r="AZ15" s="13"/>
    </row>
    <row r="16" spans="1:52" ht="57.75" customHeight="1">
      <c r="A16" s="9"/>
      <c r="B16" s="43" t="s">
        <v>41</v>
      </c>
      <c r="C16" s="32"/>
      <c r="D16" s="44">
        <f t="shared" si="4"/>
        <v>0</v>
      </c>
      <c r="E16" s="45"/>
      <c r="F16" s="46">
        <f>T16/M16</f>
        <v>0</v>
      </c>
      <c r="G16" s="45"/>
      <c r="H16" s="45"/>
      <c r="I16" s="45"/>
      <c r="J16" s="45"/>
      <c r="K16" s="14" t="e">
        <f t="shared" si="5"/>
        <v>#DIV/0!</v>
      </c>
      <c r="L16" s="36"/>
      <c r="M16" s="37">
        <v>1602.62</v>
      </c>
      <c r="N16" s="37"/>
      <c r="O16" s="37"/>
      <c r="P16" s="36"/>
      <c r="Q16" s="13"/>
      <c r="R16" s="15">
        <f t="shared" si="6"/>
        <v>0</v>
      </c>
      <c r="S16" s="36"/>
      <c r="T16" s="36"/>
      <c r="U16" s="36"/>
      <c r="V16" s="36"/>
      <c r="W16" s="36"/>
      <c r="X16" s="36"/>
      <c r="Y16" s="67">
        <f t="shared" si="7"/>
        <v>0</v>
      </c>
      <c r="Z16" s="97"/>
      <c r="AA16" s="97">
        <f>AO16/AH16</f>
        <v>0</v>
      </c>
      <c r="AB16" s="97"/>
      <c r="AC16" s="97"/>
      <c r="AD16" s="97"/>
      <c r="AE16" s="97"/>
      <c r="AF16" s="14">
        <f>AH16</f>
        <v>1244.41</v>
      </c>
      <c r="AG16" s="13"/>
      <c r="AH16" s="13">
        <v>1244.41</v>
      </c>
      <c r="AI16" s="13"/>
      <c r="AJ16" s="13"/>
      <c r="AK16" s="13"/>
      <c r="AL16" s="37"/>
      <c r="AM16" s="15">
        <f t="shared" si="8"/>
        <v>0</v>
      </c>
      <c r="AN16" s="36"/>
      <c r="AO16" s="36"/>
      <c r="AP16" s="36"/>
      <c r="AQ16" s="36"/>
      <c r="AR16" s="36"/>
      <c r="AS16" s="13"/>
      <c r="AT16" s="15">
        <f t="shared" si="9"/>
        <v>0</v>
      </c>
      <c r="AU16" s="37"/>
      <c r="AV16" s="37">
        <f>(M16-AH16)*F16</f>
        <v>0</v>
      </c>
      <c r="AW16" s="37"/>
      <c r="AX16" s="37"/>
      <c r="AY16" s="37"/>
      <c r="AZ16" s="13"/>
    </row>
    <row r="17" spans="1:52" ht="54" customHeight="1">
      <c r="A17" s="38">
        <v>36</v>
      </c>
      <c r="B17" s="39" t="s">
        <v>37</v>
      </c>
      <c r="C17" s="106"/>
      <c r="D17" s="75">
        <f>SUM(E17:J17)</f>
        <v>0</v>
      </c>
      <c r="E17" s="42"/>
      <c r="F17" s="42"/>
      <c r="G17" s="76"/>
      <c r="H17" s="42"/>
      <c r="I17" s="107"/>
      <c r="J17" s="76">
        <f>X17/Q17</f>
        <v>0</v>
      </c>
      <c r="K17" s="14" t="e">
        <f t="shared" si="5"/>
        <v>#DIV/0!</v>
      </c>
      <c r="L17" s="108"/>
      <c r="M17" s="13"/>
      <c r="N17" s="13"/>
      <c r="O17" s="13"/>
      <c r="P17" s="13"/>
      <c r="Q17" s="13">
        <v>1131.5</v>
      </c>
      <c r="R17" s="14">
        <f>SUM(S17:X17)</f>
        <v>0</v>
      </c>
      <c r="S17" s="13"/>
      <c r="T17" s="13"/>
      <c r="U17" s="13"/>
      <c r="V17" s="13"/>
      <c r="W17" s="13"/>
      <c r="X17" s="13"/>
      <c r="Y17" s="64">
        <f>AE17</f>
        <v>0</v>
      </c>
      <c r="Z17" s="65"/>
      <c r="AA17" s="65"/>
      <c r="AB17" s="65"/>
      <c r="AC17" s="65"/>
      <c r="AD17" s="65"/>
      <c r="AE17" s="65">
        <f>AS17/AL17</f>
        <v>0</v>
      </c>
      <c r="AF17" s="14">
        <f>AL17</f>
        <v>1122.56</v>
      </c>
      <c r="AG17" s="13"/>
      <c r="AH17" s="13"/>
      <c r="AI17" s="13"/>
      <c r="AJ17" s="13"/>
      <c r="AK17" s="109"/>
      <c r="AL17" s="109">
        <v>1122.56</v>
      </c>
      <c r="AM17" s="14">
        <f>AS17</f>
        <v>0</v>
      </c>
      <c r="AN17" s="13"/>
      <c r="AO17" s="13"/>
      <c r="AP17" s="13"/>
      <c r="AQ17" s="13"/>
      <c r="AR17" s="13"/>
      <c r="AS17" s="13"/>
      <c r="AT17" s="14">
        <f>SUM(AU17:AZ17)</f>
        <v>0</v>
      </c>
      <c r="AU17" s="13"/>
      <c r="AV17" s="13"/>
      <c r="AW17" s="13"/>
      <c r="AX17" s="13"/>
      <c r="AY17" s="13"/>
      <c r="AZ17" s="37">
        <f>(Q17-AL17)*J17</f>
        <v>0</v>
      </c>
    </row>
    <row r="18" spans="1:52" ht="88.5" customHeight="1" thickBot="1">
      <c r="A18" s="30"/>
      <c r="B18" s="31" t="s">
        <v>38</v>
      </c>
      <c r="D18" s="75">
        <f>SUM(E18:J18)</f>
        <v>0</v>
      </c>
      <c r="E18" s="56"/>
      <c r="F18" s="56"/>
      <c r="G18" s="102"/>
      <c r="H18" s="56"/>
      <c r="I18" s="103"/>
      <c r="J18" s="76">
        <f>X18/Q18</f>
        <v>0</v>
      </c>
      <c r="K18" s="14" t="e">
        <f t="shared" si="5"/>
        <v>#DIV/0!</v>
      </c>
      <c r="L18" s="104"/>
      <c r="M18" s="36"/>
      <c r="N18" s="36"/>
      <c r="O18" s="36"/>
      <c r="P18" s="36"/>
      <c r="Q18" s="36">
        <v>1488.64</v>
      </c>
      <c r="R18" s="14">
        <f>SUM(S18:X18)</f>
        <v>0</v>
      </c>
      <c r="S18" s="36"/>
      <c r="T18" s="36"/>
      <c r="U18" s="36"/>
      <c r="V18" s="36"/>
      <c r="W18" s="36"/>
      <c r="X18" s="36"/>
      <c r="Y18" s="62">
        <f>AE18</f>
        <v>0</v>
      </c>
      <c r="Z18" s="34"/>
      <c r="AA18" s="34"/>
      <c r="AB18" s="34"/>
      <c r="AC18" s="34"/>
      <c r="AD18" s="34"/>
      <c r="AE18" s="65">
        <f>AS18/AL18</f>
        <v>0</v>
      </c>
      <c r="AF18" s="35">
        <f>AL18</f>
        <v>1122.56</v>
      </c>
      <c r="AG18" s="36"/>
      <c r="AH18" s="36"/>
      <c r="AI18" s="36"/>
      <c r="AJ18" s="36"/>
      <c r="AK18" s="105"/>
      <c r="AL18" s="105">
        <v>1122.56</v>
      </c>
      <c r="AM18" s="35">
        <f>AS18</f>
        <v>0</v>
      </c>
      <c r="AN18" s="36"/>
      <c r="AO18" s="36"/>
      <c r="AP18" s="36"/>
      <c r="AQ18" s="36"/>
      <c r="AR18" s="36"/>
      <c r="AS18" s="36"/>
      <c r="AT18" s="57">
        <f>SUM(AU18:AZ18)</f>
        <v>0</v>
      </c>
      <c r="AU18" s="50"/>
      <c r="AV18" s="50"/>
      <c r="AW18" s="50"/>
      <c r="AX18" s="50"/>
      <c r="AY18" s="50"/>
      <c r="AZ18" s="37">
        <f>(Q18-AL18)*J18</f>
        <v>0</v>
      </c>
    </row>
    <row r="19" spans="1:65" s="29" customFormat="1" ht="43.5" customHeight="1" thickBot="1">
      <c r="A19" s="23">
        <v>2</v>
      </c>
      <c r="B19" s="24" t="s">
        <v>0</v>
      </c>
      <c r="C19" s="58" t="s">
        <v>5</v>
      </c>
      <c r="D19" s="25">
        <f aca="true" t="shared" si="10" ref="D19:J19">SUM(D20:D26)</f>
        <v>14824.060599999999</v>
      </c>
      <c r="E19" s="141">
        <f t="shared" si="10"/>
        <v>610.2955</v>
      </c>
      <c r="F19" s="59">
        <f t="shared" si="10"/>
        <v>7880.853999999999</v>
      </c>
      <c r="G19" s="141">
        <f t="shared" si="10"/>
        <v>3932.1515</v>
      </c>
      <c r="H19" s="59">
        <f t="shared" si="10"/>
        <v>0</v>
      </c>
      <c r="I19" s="141">
        <f t="shared" si="10"/>
        <v>2248.4596</v>
      </c>
      <c r="J19" s="59">
        <f t="shared" si="10"/>
        <v>152.3</v>
      </c>
      <c r="K19" s="27">
        <f t="shared" si="5"/>
        <v>142.36492192969044</v>
      </c>
      <c r="L19" s="61">
        <f aca="true" t="shared" si="11" ref="L19:Q19">S19/E19</f>
        <v>167.4935338700679</v>
      </c>
      <c r="M19" s="27">
        <f t="shared" si="11"/>
        <v>118.41996946016258</v>
      </c>
      <c r="N19" s="27">
        <f t="shared" si="11"/>
        <v>174.27134992128356</v>
      </c>
      <c r="O19" s="27" t="e">
        <f t="shared" si="11"/>
        <v>#DIV/0!</v>
      </c>
      <c r="P19" s="27">
        <f t="shared" si="11"/>
        <v>167.2753782189371</v>
      </c>
      <c r="Q19" s="27">
        <f t="shared" si="11"/>
        <v>89.17866053841102</v>
      </c>
      <c r="R19" s="27">
        <f aca="true" t="shared" si="12" ref="R19:AE19">SUM(R20:R26)</f>
        <v>2110426.23</v>
      </c>
      <c r="S19" s="27">
        <f t="shared" si="12"/>
        <v>102220.55</v>
      </c>
      <c r="T19" s="27">
        <f t="shared" si="12"/>
        <v>933250.49</v>
      </c>
      <c r="U19" s="27">
        <f t="shared" si="12"/>
        <v>685261.35</v>
      </c>
      <c r="V19" s="27">
        <f t="shared" si="12"/>
        <v>0</v>
      </c>
      <c r="W19" s="27">
        <f t="shared" si="12"/>
        <v>376111.93000000005</v>
      </c>
      <c r="X19" s="27">
        <f t="shared" si="12"/>
        <v>13581.91</v>
      </c>
      <c r="Y19" s="59">
        <f t="shared" si="12"/>
        <v>14658.662871684972</v>
      </c>
      <c r="Z19" s="59">
        <f t="shared" si="12"/>
        <v>610.2954728100724</v>
      </c>
      <c r="AA19" s="59">
        <f t="shared" si="12"/>
        <v>7829.394320921511</v>
      </c>
      <c r="AB19" s="59">
        <f t="shared" si="12"/>
        <v>3809.0886686311283</v>
      </c>
      <c r="AC19" s="59">
        <f t="shared" si="12"/>
        <v>-69.4789713367265</v>
      </c>
      <c r="AD19" s="59">
        <f t="shared" si="12"/>
        <v>2327.0636217519427</v>
      </c>
      <c r="AE19" s="59">
        <f t="shared" si="12"/>
        <v>152.2997589070453</v>
      </c>
      <c r="AF19" s="27">
        <f>AG19</f>
        <v>74.66</v>
      </c>
      <c r="AG19" s="27">
        <f>AG22</f>
        <v>74.66</v>
      </c>
      <c r="AH19" s="27">
        <f>AH22</f>
        <v>74.66</v>
      </c>
      <c r="AI19" s="27">
        <f>AI22</f>
        <v>74.66</v>
      </c>
      <c r="AJ19" s="27">
        <f>AJ22</f>
        <v>74.66</v>
      </c>
      <c r="AK19" s="28">
        <f>AK22</f>
        <v>74.66</v>
      </c>
      <c r="AL19" s="27">
        <f>AL26</f>
        <v>74.66</v>
      </c>
      <c r="AM19" s="27">
        <f aca="true" t="shared" si="13" ref="AM19:AZ19">SUM(AM20:AM26)</f>
        <v>1094415.77</v>
      </c>
      <c r="AN19" s="27">
        <f t="shared" si="13"/>
        <v>45564.66</v>
      </c>
      <c r="AO19" s="27">
        <f t="shared" si="13"/>
        <v>584542.58</v>
      </c>
      <c r="AP19" s="27">
        <f t="shared" si="13"/>
        <v>284386.56</v>
      </c>
      <c r="AQ19" s="27">
        <f t="shared" si="13"/>
        <v>-5187.3</v>
      </c>
      <c r="AR19" s="27">
        <f t="shared" si="13"/>
        <v>173738.57</v>
      </c>
      <c r="AS19" s="27">
        <f t="shared" si="13"/>
        <v>11370.7</v>
      </c>
      <c r="AT19" s="118">
        <f t="shared" si="13"/>
        <v>1003651.3178140002</v>
      </c>
      <c r="AU19" s="27">
        <f t="shared" si="13"/>
        <v>56653.731265</v>
      </c>
      <c r="AV19" s="27">
        <f t="shared" si="13"/>
        <v>344870.59908</v>
      </c>
      <c r="AW19" s="27">
        <f t="shared" si="13"/>
        <v>391676.930705</v>
      </c>
      <c r="AX19" s="27">
        <f t="shared" si="13"/>
        <v>0</v>
      </c>
      <c r="AY19" s="27">
        <f t="shared" si="13"/>
        <v>208240.18376400002</v>
      </c>
      <c r="AZ19" s="27">
        <f t="shared" si="13"/>
        <v>2209.873000000001</v>
      </c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</row>
    <row r="20" spans="1:52" s="4" customFormat="1" ht="39.75" customHeight="1">
      <c r="A20" s="70"/>
      <c r="B20" s="47" t="s">
        <v>24</v>
      </c>
      <c r="C20" s="47"/>
      <c r="D20" s="136">
        <f aca="true" t="shared" si="14" ref="D20:D25">SUM(E20:I20)</f>
        <v>285.511</v>
      </c>
      <c r="E20" s="69"/>
      <c r="F20" s="69"/>
      <c r="G20" s="69">
        <v>285.511</v>
      </c>
      <c r="H20" s="69"/>
      <c r="I20" s="69"/>
      <c r="J20" s="34"/>
      <c r="K20" s="14">
        <f t="shared" si="5"/>
        <v>260.8385316152442</v>
      </c>
      <c r="L20" s="50"/>
      <c r="M20" s="73"/>
      <c r="N20" s="142">
        <v>260.85</v>
      </c>
      <c r="O20" s="50"/>
      <c r="P20" s="50"/>
      <c r="Q20" s="50"/>
      <c r="R20" s="63">
        <f aca="true" t="shared" si="15" ref="R20:R25">SUM(S20:W20)</f>
        <v>74472.27</v>
      </c>
      <c r="S20" s="50"/>
      <c r="T20" s="50"/>
      <c r="U20" s="50">
        <v>74472.27</v>
      </c>
      <c r="V20" s="73"/>
      <c r="W20" s="73"/>
      <c r="X20" s="73"/>
      <c r="Y20" s="100">
        <f aca="true" t="shared" si="16" ref="Y20:Y25">SUM(Z20:AD20)</f>
        <v>285.5108491829628</v>
      </c>
      <c r="Z20" s="98"/>
      <c r="AA20" s="98"/>
      <c r="AB20" s="98">
        <f>AP20/AI20</f>
        <v>285.5108491829628</v>
      </c>
      <c r="AC20" s="98"/>
      <c r="AD20" s="98"/>
      <c r="AE20" s="98"/>
      <c r="AF20" s="63">
        <f>AI20</f>
        <v>74.66</v>
      </c>
      <c r="AG20" s="73"/>
      <c r="AH20" s="73"/>
      <c r="AI20" s="73">
        <v>74.66</v>
      </c>
      <c r="AJ20" s="73"/>
      <c r="AK20" s="73"/>
      <c r="AL20" s="73"/>
      <c r="AM20" s="63">
        <f aca="true" t="shared" si="17" ref="AM20:AM25">SUM(AN20:AR20)</f>
        <v>21316.24</v>
      </c>
      <c r="AN20" s="73"/>
      <c r="AO20" s="73"/>
      <c r="AP20" s="73">
        <v>21316.24</v>
      </c>
      <c r="AQ20" s="73"/>
      <c r="AR20" s="73"/>
      <c r="AS20" s="73"/>
      <c r="AT20" s="63">
        <f aca="true" t="shared" si="18" ref="AT20:AT25">SUM(AU20:AY20)</f>
        <v>53159.293090000014</v>
      </c>
      <c r="AU20" s="73"/>
      <c r="AV20" s="73"/>
      <c r="AW20" s="37">
        <f>(N20-AI20)*G20</f>
        <v>53159.293090000014</v>
      </c>
      <c r="AX20" s="73"/>
      <c r="AY20" s="73"/>
      <c r="AZ20" s="73"/>
    </row>
    <row r="21" spans="1:52" s="4" customFormat="1" ht="60" customHeight="1">
      <c r="A21" s="66"/>
      <c r="B21" s="55" t="s">
        <v>43</v>
      </c>
      <c r="C21" s="47"/>
      <c r="D21" s="137">
        <f t="shared" si="14"/>
        <v>159.354</v>
      </c>
      <c r="E21" s="68"/>
      <c r="F21" s="69">
        <v>159.354</v>
      </c>
      <c r="G21" s="69"/>
      <c r="H21" s="69"/>
      <c r="I21" s="69"/>
      <c r="J21" s="69"/>
      <c r="K21" s="57">
        <f t="shared" si="5"/>
        <v>106.18076734816823</v>
      </c>
      <c r="L21" s="50"/>
      <c r="M21" s="36">
        <v>106.18</v>
      </c>
      <c r="N21" s="50"/>
      <c r="O21" s="50"/>
      <c r="P21" s="50"/>
      <c r="Q21" s="50"/>
      <c r="R21" s="35">
        <f t="shared" si="15"/>
        <v>16920.33</v>
      </c>
      <c r="S21" s="50"/>
      <c r="T21" s="50">
        <v>16920.33</v>
      </c>
      <c r="U21" s="50"/>
      <c r="V21" s="36"/>
      <c r="W21" s="36"/>
      <c r="X21" s="36"/>
      <c r="Y21" s="62">
        <f t="shared" si="16"/>
        <v>159.3538708813287</v>
      </c>
      <c r="Z21" s="34"/>
      <c r="AA21" s="34">
        <f>AO21/AH21</f>
        <v>159.3538708813287</v>
      </c>
      <c r="AB21" s="34"/>
      <c r="AC21" s="34"/>
      <c r="AD21" s="34"/>
      <c r="AE21" s="34"/>
      <c r="AF21" s="35">
        <f>AH21</f>
        <v>74.66</v>
      </c>
      <c r="AG21" s="36"/>
      <c r="AH21" s="36">
        <v>74.66</v>
      </c>
      <c r="AI21" s="36"/>
      <c r="AJ21" s="36"/>
      <c r="AK21" s="36"/>
      <c r="AL21" s="36"/>
      <c r="AM21" s="35">
        <f t="shared" si="17"/>
        <v>11897.36</v>
      </c>
      <c r="AN21" s="36"/>
      <c r="AO21" s="36">
        <v>11897.36</v>
      </c>
      <c r="AP21" s="36"/>
      <c r="AQ21" s="36"/>
      <c r="AR21" s="36"/>
      <c r="AS21" s="36"/>
      <c r="AT21" s="35">
        <f t="shared" si="18"/>
        <v>5022.838080000002</v>
      </c>
      <c r="AU21" s="13"/>
      <c r="AV21" s="13">
        <f>(M21-AH21)*F21</f>
        <v>5022.838080000002</v>
      </c>
      <c r="AW21" s="13"/>
      <c r="AX21" s="13"/>
      <c r="AY21" s="13"/>
      <c r="AZ21" s="36"/>
    </row>
    <row r="22" spans="1:52" ht="37.5" customHeight="1">
      <c r="A22" s="9"/>
      <c r="B22" s="39" t="s">
        <v>35</v>
      </c>
      <c r="C22" s="40"/>
      <c r="D22" s="136">
        <f t="shared" si="14"/>
        <v>6018.2706</v>
      </c>
      <c r="E22" s="140">
        <v>610.2955</v>
      </c>
      <c r="F22" s="65">
        <f>T22/M22</f>
        <v>0</v>
      </c>
      <c r="G22" s="140">
        <v>3646.6405</v>
      </c>
      <c r="H22" s="65">
        <f>V22/O22</f>
        <v>0</v>
      </c>
      <c r="I22" s="140">
        <v>1761.3346</v>
      </c>
      <c r="J22" s="65"/>
      <c r="K22" s="14">
        <f t="shared" si="5"/>
        <v>168.55092723813385</v>
      </c>
      <c r="L22" s="13">
        <v>167.49</v>
      </c>
      <c r="M22" s="13">
        <f>L22</f>
        <v>167.49</v>
      </c>
      <c r="N22" s="13">
        <f>L22</f>
        <v>167.49</v>
      </c>
      <c r="O22" s="13">
        <f>L22</f>
        <v>167.49</v>
      </c>
      <c r="P22" s="130">
        <f>W22/I22</f>
        <v>171.1063076828219</v>
      </c>
      <c r="Q22" s="13"/>
      <c r="R22" s="14">
        <f t="shared" si="15"/>
        <v>1014385.0900000001</v>
      </c>
      <c r="S22" s="13">
        <v>102220.55</v>
      </c>
      <c r="T22" s="13"/>
      <c r="U22" s="13">
        <v>610789.08</v>
      </c>
      <c r="V22" s="13"/>
      <c r="W22" s="13">
        <v>301375.46</v>
      </c>
      <c r="X22" s="13"/>
      <c r="Y22" s="64">
        <f t="shared" si="16"/>
        <v>5852.894856683633</v>
      </c>
      <c r="Z22" s="65">
        <f>AN22/AG22</f>
        <v>610.2954728100724</v>
      </c>
      <c r="AA22" s="65">
        <f>AO22/AH22</f>
        <v>-51.43785159389231</v>
      </c>
      <c r="AB22" s="65">
        <f>AP22/AI22</f>
        <v>3523.5778194481654</v>
      </c>
      <c r="AC22" s="65">
        <f>AQ22/AJ22</f>
        <v>-69.4789713367265</v>
      </c>
      <c r="AD22" s="65">
        <f>AR22/AK22</f>
        <v>1839.9383873560143</v>
      </c>
      <c r="AE22" s="65"/>
      <c r="AF22" s="14">
        <f>AG22</f>
        <v>74.66</v>
      </c>
      <c r="AG22" s="13">
        <v>74.66</v>
      </c>
      <c r="AH22" s="13">
        <v>74.66</v>
      </c>
      <c r="AI22" s="13">
        <v>74.66</v>
      </c>
      <c r="AJ22" s="13">
        <v>74.66</v>
      </c>
      <c r="AK22" s="13">
        <v>74.66</v>
      </c>
      <c r="AL22" s="13"/>
      <c r="AM22" s="14">
        <f t="shared" si="17"/>
        <v>436977.13</v>
      </c>
      <c r="AN22" s="13">
        <f>45564.66</f>
        <v>45564.66</v>
      </c>
      <c r="AO22" s="13">
        <f>-3840.35</f>
        <v>-3840.35</v>
      </c>
      <c r="AP22" s="13">
        <f>-9187.86+272258.18</f>
        <v>263070.32</v>
      </c>
      <c r="AQ22" s="13">
        <f>-5187.3</f>
        <v>-5187.3</v>
      </c>
      <c r="AR22" s="13">
        <f>136791.04+578.76</f>
        <v>137369.80000000002</v>
      </c>
      <c r="AS22" s="13"/>
      <c r="AT22" s="14">
        <f t="shared" si="18"/>
        <v>565045.5876440001</v>
      </c>
      <c r="AU22" s="37">
        <f>(L22-AG22)*E22</f>
        <v>56653.731265</v>
      </c>
      <c r="AV22" s="37">
        <f>(M22-AH22)*F22</f>
        <v>0</v>
      </c>
      <c r="AW22" s="37">
        <f>(N22-AI22)*G22</f>
        <v>338517.637615</v>
      </c>
      <c r="AX22" s="37">
        <f>(O22-AJ22)*H22</f>
        <v>0</v>
      </c>
      <c r="AY22" s="37">
        <f>(P22-AK22)*I22</f>
        <v>169874.21876400002</v>
      </c>
      <c r="AZ22" s="13"/>
    </row>
    <row r="23" spans="1:52" s="4" customFormat="1" ht="42" customHeight="1">
      <c r="A23" s="66"/>
      <c r="B23" s="39" t="s">
        <v>23</v>
      </c>
      <c r="C23" s="39"/>
      <c r="D23" s="136">
        <f t="shared" si="14"/>
        <v>497.22</v>
      </c>
      <c r="E23" s="65"/>
      <c r="F23" s="65">
        <v>497.22</v>
      </c>
      <c r="G23" s="65"/>
      <c r="H23" s="65"/>
      <c r="I23" s="65"/>
      <c r="J23" s="65"/>
      <c r="K23" s="14">
        <f t="shared" si="5"/>
        <v>109.12640279956558</v>
      </c>
      <c r="L23" s="13"/>
      <c r="M23" s="13">
        <v>109.13</v>
      </c>
      <c r="N23" s="13"/>
      <c r="O23" s="13"/>
      <c r="P23" s="13"/>
      <c r="Q23" s="13"/>
      <c r="R23" s="14">
        <f t="shared" si="15"/>
        <v>54259.83</v>
      </c>
      <c r="S23" s="13"/>
      <c r="T23" s="13">
        <v>54259.83</v>
      </c>
      <c r="U23" s="13"/>
      <c r="V23" s="13"/>
      <c r="W23" s="13"/>
      <c r="X23" s="13"/>
      <c r="Y23" s="64">
        <f t="shared" si="16"/>
        <v>497.220198231985</v>
      </c>
      <c r="Z23" s="65"/>
      <c r="AA23" s="65">
        <f>AO23/AH23</f>
        <v>497.220198231985</v>
      </c>
      <c r="AB23" s="65"/>
      <c r="AC23" s="65"/>
      <c r="AD23" s="65"/>
      <c r="AE23" s="65"/>
      <c r="AF23" s="14">
        <f>AH23</f>
        <v>74.66</v>
      </c>
      <c r="AG23" s="13"/>
      <c r="AH23" s="13">
        <v>74.66</v>
      </c>
      <c r="AI23" s="13"/>
      <c r="AJ23" s="13"/>
      <c r="AK23" s="13"/>
      <c r="AL23" s="13"/>
      <c r="AM23" s="14">
        <f t="shared" si="17"/>
        <v>37122.46</v>
      </c>
      <c r="AN23" s="13"/>
      <c r="AO23" s="13">
        <v>37122.46</v>
      </c>
      <c r="AP23" s="13"/>
      <c r="AQ23" s="13"/>
      <c r="AR23" s="13"/>
      <c r="AS23" s="13"/>
      <c r="AT23" s="14">
        <f t="shared" si="18"/>
        <v>17139.1734</v>
      </c>
      <c r="AU23" s="13"/>
      <c r="AV23" s="37">
        <f>(M23-AH23)*F23</f>
        <v>17139.1734</v>
      </c>
      <c r="AW23" s="13"/>
      <c r="AX23" s="13"/>
      <c r="AY23" s="13"/>
      <c r="AZ23" s="13"/>
    </row>
    <row r="24" spans="1:52" s="4" customFormat="1" ht="55.5" customHeight="1">
      <c r="A24" s="66"/>
      <c r="B24" s="43" t="s">
        <v>41</v>
      </c>
      <c r="C24" s="43"/>
      <c r="D24" s="134">
        <f t="shared" si="14"/>
        <v>7224.28</v>
      </c>
      <c r="E24" s="34"/>
      <c r="F24" s="97">
        <v>7224.28</v>
      </c>
      <c r="G24" s="34"/>
      <c r="H24" s="34"/>
      <c r="I24" s="97"/>
      <c r="J24" s="97"/>
      <c r="K24" s="15">
        <f t="shared" si="5"/>
        <v>119.32958440149052</v>
      </c>
      <c r="L24" s="37"/>
      <c r="M24" s="139">
        <v>119.33</v>
      </c>
      <c r="N24" s="37"/>
      <c r="O24" s="37"/>
      <c r="P24" s="37"/>
      <c r="Q24" s="37"/>
      <c r="R24" s="15">
        <f t="shared" si="15"/>
        <v>862070.33</v>
      </c>
      <c r="S24" s="37"/>
      <c r="T24" s="37">
        <v>862070.33</v>
      </c>
      <c r="U24" s="37"/>
      <c r="V24" s="37"/>
      <c r="W24" s="37"/>
      <c r="X24" s="37"/>
      <c r="Y24" s="67">
        <f t="shared" si="16"/>
        <v>7224.25810340209</v>
      </c>
      <c r="Z24" s="97"/>
      <c r="AA24" s="97">
        <f>AO24/AH24</f>
        <v>7224.25810340209</v>
      </c>
      <c r="AB24" s="97"/>
      <c r="AC24" s="97"/>
      <c r="AD24" s="97"/>
      <c r="AE24" s="97"/>
      <c r="AF24" s="15">
        <f>AH24</f>
        <v>74.66</v>
      </c>
      <c r="AG24" s="37"/>
      <c r="AH24" s="37">
        <v>74.66</v>
      </c>
      <c r="AI24" s="37"/>
      <c r="AJ24" s="37"/>
      <c r="AK24" s="37"/>
      <c r="AL24" s="37"/>
      <c r="AM24" s="15">
        <f t="shared" si="17"/>
        <v>539363.11</v>
      </c>
      <c r="AN24" s="37"/>
      <c r="AO24" s="36">
        <f>36661.82+502701.29</f>
        <v>539363.11</v>
      </c>
      <c r="AP24" s="37"/>
      <c r="AQ24" s="37"/>
      <c r="AR24" s="37"/>
      <c r="AS24" s="37"/>
      <c r="AT24" s="15">
        <f t="shared" si="18"/>
        <v>322708.5876</v>
      </c>
      <c r="AU24" s="37"/>
      <c r="AV24" s="37">
        <f>(M24-AH24)*F24</f>
        <v>322708.5876</v>
      </c>
      <c r="AW24" s="37"/>
      <c r="AX24" s="37"/>
      <c r="AY24" s="37"/>
      <c r="AZ24" s="37"/>
    </row>
    <row r="25" spans="1:52" ht="62.25" customHeight="1">
      <c r="A25" s="9"/>
      <c r="B25" s="39" t="s">
        <v>42</v>
      </c>
      <c r="C25" s="40"/>
      <c r="D25" s="136">
        <f t="shared" si="14"/>
        <v>487.125</v>
      </c>
      <c r="E25" s="65"/>
      <c r="F25" s="65"/>
      <c r="G25" s="65"/>
      <c r="H25" s="65"/>
      <c r="I25" s="140">
        <v>487.125</v>
      </c>
      <c r="J25" s="65"/>
      <c r="K25" s="14">
        <f t="shared" si="5"/>
        <v>153.42359763920965</v>
      </c>
      <c r="L25" s="13"/>
      <c r="M25" s="13"/>
      <c r="N25" s="13"/>
      <c r="O25" s="13"/>
      <c r="P25" s="13">
        <v>153.42</v>
      </c>
      <c r="Q25" s="13"/>
      <c r="R25" s="14">
        <f t="shared" si="15"/>
        <v>74736.47</v>
      </c>
      <c r="S25" s="13"/>
      <c r="T25" s="13"/>
      <c r="U25" s="13"/>
      <c r="V25" s="13"/>
      <c r="W25" s="13">
        <v>74736.47</v>
      </c>
      <c r="X25" s="13"/>
      <c r="Y25" s="64">
        <f t="shared" si="16"/>
        <v>487.1252343959282</v>
      </c>
      <c r="Z25" s="65"/>
      <c r="AA25" s="65"/>
      <c r="AB25" s="65"/>
      <c r="AC25" s="65"/>
      <c r="AD25" s="65">
        <f>AR25/AK25</f>
        <v>487.1252343959282</v>
      </c>
      <c r="AE25" s="65"/>
      <c r="AF25" s="14">
        <f>AK25</f>
        <v>74.66</v>
      </c>
      <c r="AG25" s="13"/>
      <c r="AH25" s="13"/>
      <c r="AI25" s="13"/>
      <c r="AJ25" s="13"/>
      <c r="AK25" s="37">
        <v>74.66</v>
      </c>
      <c r="AL25" s="13"/>
      <c r="AM25" s="14">
        <f t="shared" si="17"/>
        <v>36368.77</v>
      </c>
      <c r="AN25" s="13"/>
      <c r="AO25" s="13"/>
      <c r="AP25" s="13"/>
      <c r="AQ25" s="13"/>
      <c r="AR25" s="13">
        <v>36368.77</v>
      </c>
      <c r="AS25" s="13"/>
      <c r="AT25" s="14">
        <f t="shared" si="18"/>
        <v>38365.965</v>
      </c>
      <c r="AU25" s="37"/>
      <c r="AV25" s="37"/>
      <c r="AW25" s="37"/>
      <c r="AX25" s="37"/>
      <c r="AY25" s="37">
        <f>(P25-AK25)*I25</f>
        <v>38365.965</v>
      </c>
      <c r="AZ25" s="13"/>
    </row>
    <row r="26" spans="1:52" ht="57" customHeight="1" thickBot="1">
      <c r="A26" s="38">
        <v>36</v>
      </c>
      <c r="B26" s="39" t="s">
        <v>37</v>
      </c>
      <c r="C26" s="106"/>
      <c r="D26" s="137">
        <f>SUM(E26:J26)</f>
        <v>152.3</v>
      </c>
      <c r="E26" s="42"/>
      <c r="F26" s="42"/>
      <c r="G26" s="76"/>
      <c r="H26" s="42"/>
      <c r="I26" s="107"/>
      <c r="J26" s="69">
        <v>152.3</v>
      </c>
      <c r="K26" s="35">
        <f t="shared" si="5"/>
        <v>89.17866053841102</v>
      </c>
      <c r="L26" s="108"/>
      <c r="M26" s="13"/>
      <c r="N26" s="13"/>
      <c r="O26" s="13"/>
      <c r="P26" s="13"/>
      <c r="Q26" s="13">
        <v>89.17</v>
      </c>
      <c r="R26" s="57">
        <f>SUM(S26:X26)</f>
        <v>13581.91</v>
      </c>
      <c r="S26" s="13"/>
      <c r="T26" s="13"/>
      <c r="U26" s="13"/>
      <c r="V26" s="13"/>
      <c r="W26" s="13"/>
      <c r="X26" s="13">
        <v>13581.91</v>
      </c>
      <c r="Y26" s="64">
        <f>AE26</f>
        <v>152.2997589070453</v>
      </c>
      <c r="Z26" s="65"/>
      <c r="AA26" s="65"/>
      <c r="AB26" s="65"/>
      <c r="AC26" s="65"/>
      <c r="AD26" s="65"/>
      <c r="AE26" s="65">
        <f>AS26/AL26</f>
        <v>152.2997589070453</v>
      </c>
      <c r="AF26" s="14">
        <f>AL26</f>
        <v>74.66</v>
      </c>
      <c r="AG26" s="13"/>
      <c r="AH26" s="13"/>
      <c r="AI26" s="13"/>
      <c r="AJ26" s="13"/>
      <c r="AK26" s="109"/>
      <c r="AL26" s="109">
        <v>74.66</v>
      </c>
      <c r="AM26" s="14">
        <f>AS26</f>
        <v>11370.7</v>
      </c>
      <c r="AN26" s="13"/>
      <c r="AO26" s="13"/>
      <c r="AP26" s="13"/>
      <c r="AQ26" s="13"/>
      <c r="AR26" s="13"/>
      <c r="AS26" s="13">
        <v>11370.7</v>
      </c>
      <c r="AT26" s="57">
        <f>SUM(AU26:AZ26)</f>
        <v>2209.873000000001</v>
      </c>
      <c r="AU26" s="36"/>
      <c r="AV26" s="36"/>
      <c r="AW26" s="36"/>
      <c r="AX26" s="36"/>
      <c r="AY26" s="36"/>
      <c r="AZ26" s="37">
        <f>(Q26-AL26)*J26</f>
        <v>2209.873000000001</v>
      </c>
    </row>
    <row r="27" spans="1:65" s="29" customFormat="1" ht="43.5" customHeight="1" thickBot="1">
      <c r="A27" s="23">
        <v>3</v>
      </c>
      <c r="B27" s="24" t="s">
        <v>1</v>
      </c>
      <c r="C27" s="24" t="s">
        <v>5</v>
      </c>
      <c r="D27" s="71">
        <f aca="true" t="shared" si="19" ref="D27:J27">SUM(D28:D36)</f>
        <v>74699.597</v>
      </c>
      <c r="E27" s="71">
        <f t="shared" si="19"/>
        <v>8609.8</v>
      </c>
      <c r="F27" s="71">
        <f t="shared" si="19"/>
        <v>31083.091</v>
      </c>
      <c r="G27" s="71">
        <f t="shared" si="19"/>
        <v>15218.51</v>
      </c>
      <c r="H27" s="71">
        <f t="shared" si="19"/>
        <v>9948.65</v>
      </c>
      <c r="I27" s="71">
        <f t="shared" si="19"/>
        <v>8883.986</v>
      </c>
      <c r="J27" s="71">
        <f t="shared" si="19"/>
        <v>955.56</v>
      </c>
      <c r="K27" s="28">
        <f t="shared" si="5"/>
        <v>22.859256657033907</v>
      </c>
      <c r="L27" s="28">
        <f aca="true" t="shared" si="20" ref="L27:Q27">S27/E27</f>
        <v>24.80611860902692</v>
      </c>
      <c r="M27" s="28">
        <f t="shared" si="20"/>
        <v>24.913188009519384</v>
      </c>
      <c r="N27" s="28">
        <f t="shared" si="20"/>
        <v>20.387301384958185</v>
      </c>
      <c r="O27" s="28">
        <f t="shared" si="20"/>
        <v>19.953798756615218</v>
      </c>
      <c r="P27" s="28">
        <f t="shared" si="20"/>
        <v>20.65151498437751</v>
      </c>
      <c r="Q27" s="28">
        <f t="shared" si="20"/>
        <v>28.650393486541923</v>
      </c>
      <c r="R27" s="28">
        <f aca="true" t="shared" si="21" ref="R27:AE27">SUM(R28:R36)</f>
        <v>1707577.26</v>
      </c>
      <c r="S27" s="28">
        <f t="shared" si="21"/>
        <v>213575.71999999997</v>
      </c>
      <c r="T27" s="28">
        <f t="shared" si="21"/>
        <v>774378.8899999999</v>
      </c>
      <c r="U27" s="28">
        <f t="shared" si="21"/>
        <v>310264.35</v>
      </c>
      <c r="V27" s="28">
        <f t="shared" si="21"/>
        <v>198513.36</v>
      </c>
      <c r="W27" s="28">
        <f t="shared" si="21"/>
        <v>183467.77000000002</v>
      </c>
      <c r="X27" s="28">
        <f t="shared" si="21"/>
        <v>27377.17</v>
      </c>
      <c r="Y27" s="60">
        <f t="shared" si="21"/>
        <v>74669.54021651064</v>
      </c>
      <c r="Z27" s="60">
        <f t="shared" si="21"/>
        <v>8641.04526958291</v>
      </c>
      <c r="AA27" s="60">
        <f t="shared" si="21"/>
        <v>31186.46998982706</v>
      </c>
      <c r="AB27" s="60">
        <f t="shared" si="21"/>
        <v>15259.377901109992</v>
      </c>
      <c r="AC27" s="60">
        <f t="shared" si="21"/>
        <v>9961.76763064434</v>
      </c>
      <c r="AD27" s="60">
        <f t="shared" si="21"/>
        <v>8665.312467932275</v>
      </c>
      <c r="AE27" s="60">
        <f t="shared" si="21"/>
        <v>955.5669574140586</v>
      </c>
      <c r="AF27" s="28">
        <f aca="true" t="shared" si="22" ref="AF27:AF45">AM27/Y27</f>
        <v>19.67746414052664</v>
      </c>
      <c r="AG27" s="28">
        <f>AG32</f>
        <v>19.66</v>
      </c>
      <c r="AH27" s="101">
        <f>AO27/AA27</f>
        <v>19.66</v>
      </c>
      <c r="AI27" s="101">
        <f>AI32</f>
        <v>19.82</v>
      </c>
      <c r="AJ27" s="101">
        <f>AJ32</f>
        <v>19.71</v>
      </c>
      <c r="AK27" s="101">
        <f>AK32</f>
        <v>19.49</v>
      </c>
      <c r="AL27" s="101">
        <f>AL33</f>
        <v>19.49</v>
      </c>
      <c r="AM27" s="101">
        <f aca="true" t="shared" si="23" ref="AM27:AZ27">SUM(AM28:AM36)</f>
        <v>1469307.2</v>
      </c>
      <c r="AN27" s="119">
        <f t="shared" si="23"/>
        <v>169882.95</v>
      </c>
      <c r="AO27" s="119">
        <f t="shared" si="23"/>
        <v>613126</v>
      </c>
      <c r="AP27" s="119">
        <f t="shared" si="23"/>
        <v>302440.87000000005</v>
      </c>
      <c r="AQ27" s="119">
        <f t="shared" si="23"/>
        <v>196346.43999999997</v>
      </c>
      <c r="AR27" s="119">
        <f t="shared" si="23"/>
        <v>168886.94</v>
      </c>
      <c r="AS27" s="119">
        <f t="shared" si="23"/>
        <v>18624</v>
      </c>
      <c r="AT27" s="118">
        <f t="shared" si="23"/>
        <v>237542.51382999995</v>
      </c>
      <c r="AU27" s="28">
        <f t="shared" si="23"/>
        <v>44290.55199999999</v>
      </c>
      <c r="AV27" s="28">
        <f t="shared" si="23"/>
        <v>163249.05034999998</v>
      </c>
      <c r="AW27" s="28">
        <f t="shared" si="23"/>
        <v>8577.547199999985</v>
      </c>
      <c r="AX27" s="28">
        <f t="shared" si="23"/>
        <v>2387.6759999999845</v>
      </c>
      <c r="AY27" s="28">
        <f t="shared" si="23"/>
        <v>10284.758680000008</v>
      </c>
      <c r="AZ27" s="28">
        <f t="shared" si="23"/>
        <v>8752.9296</v>
      </c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</row>
    <row r="28" spans="1:52" ht="54" customHeight="1">
      <c r="A28" s="74"/>
      <c r="B28" s="47" t="s">
        <v>20</v>
      </c>
      <c r="C28" s="32"/>
      <c r="D28" s="75">
        <f aca="true" t="shared" si="24" ref="D28:D36">SUM(E28:J28)</f>
        <v>133</v>
      </c>
      <c r="E28" s="76">
        <v>133</v>
      </c>
      <c r="F28" s="76"/>
      <c r="G28" s="76"/>
      <c r="H28" s="76"/>
      <c r="I28" s="76"/>
      <c r="J28" s="76"/>
      <c r="K28" s="14">
        <f t="shared" si="5"/>
        <v>34.9987969924812</v>
      </c>
      <c r="L28" s="37">
        <v>35</v>
      </c>
      <c r="M28" s="36"/>
      <c r="N28" s="36"/>
      <c r="O28" s="37"/>
      <c r="P28" s="37"/>
      <c r="Q28" s="37"/>
      <c r="R28" s="14">
        <f aca="true" t="shared" si="25" ref="R28:R36">SUM(S28:X28)</f>
        <v>4654.84</v>
      </c>
      <c r="S28" s="36">
        <v>4654.84</v>
      </c>
      <c r="T28" s="36"/>
      <c r="U28" s="36"/>
      <c r="V28" s="13"/>
      <c r="W28" s="13"/>
      <c r="X28" s="13"/>
      <c r="Y28" s="64">
        <f>SUM(Z28:AD28)</f>
        <v>133.00050864699898</v>
      </c>
      <c r="Z28" s="65">
        <f>AN28/AG28</f>
        <v>133.00050864699898</v>
      </c>
      <c r="AA28" s="65"/>
      <c r="AB28" s="65"/>
      <c r="AC28" s="65"/>
      <c r="AD28" s="65"/>
      <c r="AE28" s="65"/>
      <c r="AF28" s="14">
        <f>AM28/Y28</f>
        <v>19.66</v>
      </c>
      <c r="AG28" s="13">
        <v>19.66</v>
      </c>
      <c r="AH28" s="13"/>
      <c r="AI28" s="13"/>
      <c r="AJ28" s="13"/>
      <c r="AK28" s="13"/>
      <c r="AL28" s="13"/>
      <c r="AM28" s="14">
        <f>SUM(AN28:AR28)</f>
        <v>2614.79</v>
      </c>
      <c r="AN28" s="36">
        <v>2614.79</v>
      </c>
      <c r="AO28" s="36"/>
      <c r="AP28" s="36"/>
      <c r="AQ28" s="13"/>
      <c r="AR28" s="13"/>
      <c r="AS28" s="13"/>
      <c r="AT28" s="14">
        <f>SUM(AU28:AY28)</f>
        <v>2040.22</v>
      </c>
      <c r="AU28" s="37">
        <f>(L28-AG28)*E28</f>
        <v>2040.22</v>
      </c>
      <c r="AV28" s="37"/>
      <c r="AW28" s="37"/>
      <c r="AX28" s="37"/>
      <c r="AY28" s="37"/>
      <c r="AZ28" s="13"/>
    </row>
    <row r="29" spans="1:52" ht="60" customHeight="1">
      <c r="A29" s="74"/>
      <c r="B29" s="47" t="s">
        <v>21</v>
      </c>
      <c r="C29" s="48"/>
      <c r="D29" s="75">
        <f t="shared" si="24"/>
        <v>409.09</v>
      </c>
      <c r="E29" s="76"/>
      <c r="F29" s="76"/>
      <c r="G29" s="76">
        <v>409.09</v>
      </c>
      <c r="H29" s="76"/>
      <c r="I29" s="76"/>
      <c r="J29" s="76"/>
      <c r="K29" s="14">
        <f t="shared" si="5"/>
        <v>33.759783910630915</v>
      </c>
      <c r="L29" s="37"/>
      <c r="M29" s="13"/>
      <c r="N29" s="50">
        <v>33.76</v>
      </c>
      <c r="O29" s="37"/>
      <c r="P29" s="37"/>
      <c r="Q29" s="37"/>
      <c r="R29" s="14">
        <f t="shared" si="25"/>
        <v>13810.79</v>
      </c>
      <c r="S29" s="50"/>
      <c r="T29" s="50"/>
      <c r="U29" s="50">
        <v>13810.79</v>
      </c>
      <c r="V29" s="36"/>
      <c r="W29" s="36"/>
      <c r="X29" s="13"/>
      <c r="Y29" s="67">
        <f>SUM(Z29:AD29)</f>
        <v>409.0862764883956</v>
      </c>
      <c r="Z29" s="97"/>
      <c r="AA29" s="97"/>
      <c r="AB29" s="97">
        <f>AP29/AI29</f>
        <v>409.0862764883956</v>
      </c>
      <c r="AC29" s="97"/>
      <c r="AD29" s="97"/>
      <c r="AE29" s="97"/>
      <c r="AF29" s="14">
        <f>AM29/Y29</f>
        <v>19.82</v>
      </c>
      <c r="AG29" s="13"/>
      <c r="AH29" s="13"/>
      <c r="AI29" s="13">
        <v>19.82</v>
      </c>
      <c r="AJ29" s="13"/>
      <c r="AK29" s="13"/>
      <c r="AL29" s="37"/>
      <c r="AM29" s="15">
        <f>SUM(AN29:AR29)</f>
        <v>8108.09</v>
      </c>
      <c r="AN29" s="50"/>
      <c r="AO29" s="50"/>
      <c r="AP29" s="50">
        <v>8108.09</v>
      </c>
      <c r="AQ29" s="36"/>
      <c r="AR29" s="36"/>
      <c r="AS29" s="13"/>
      <c r="AT29" s="14">
        <f>SUM(AU29:AY29)</f>
        <v>5702.714599999998</v>
      </c>
      <c r="AU29" s="37"/>
      <c r="AV29" s="37"/>
      <c r="AW29" s="37">
        <f>(N29-AI29)*G29</f>
        <v>5702.714599999998</v>
      </c>
      <c r="AX29" s="37"/>
      <c r="AY29" s="37"/>
      <c r="AZ29" s="13"/>
    </row>
    <row r="30" spans="1:52" ht="57.75" customHeight="1">
      <c r="A30" s="38"/>
      <c r="B30" s="54" t="s">
        <v>39</v>
      </c>
      <c r="C30" s="40"/>
      <c r="D30" s="75">
        <f t="shared" si="24"/>
        <v>8075.811</v>
      </c>
      <c r="E30" s="76"/>
      <c r="F30" s="65">
        <v>8075.811</v>
      </c>
      <c r="G30" s="76"/>
      <c r="H30" s="76"/>
      <c r="I30" s="76"/>
      <c r="J30" s="76"/>
      <c r="K30" s="14">
        <f t="shared" si="5"/>
        <v>22.110898831089536</v>
      </c>
      <c r="L30" s="13"/>
      <c r="M30" s="37">
        <v>22.11</v>
      </c>
      <c r="N30" s="13"/>
      <c r="O30" s="37"/>
      <c r="P30" s="37"/>
      <c r="Q30" s="37"/>
      <c r="R30" s="14">
        <f t="shared" si="25"/>
        <v>178563.44</v>
      </c>
      <c r="S30" s="13"/>
      <c r="T30" s="13">
        <v>178563.44</v>
      </c>
      <c r="U30" s="13"/>
      <c r="V30" s="13"/>
      <c r="W30" s="13"/>
      <c r="X30" s="37"/>
      <c r="Y30" s="67">
        <f>SUM(Z30:AD30)</f>
        <v>8075.811291963378</v>
      </c>
      <c r="Z30" s="97"/>
      <c r="AA30" s="97">
        <f>AO30/AH30</f>
        <v>8075.811291963378</v>
      </c>
      <c r="AB30" s="97"/>
      <c r="AC30" s="97"/>
      <c r="AD30" s="97"/>
      <c r="AE30" s="97"/>
      <c r="AF30" s="14">
        <f>AM30/Y30</f>
        <v>19.66</v>
      </c>
      <c r="AG30" s="37"/>
      <c r="AH30" s="37">
        <v>19.66</v>
      </c>
      <c r="AI30" s="37"/>
      <c r="AJ30" s="37"/>
      <c r="AK30" s="37"/>
      <c r="AL30" s="37"/>
      <c r="AM30" s="15">
        <f>SUM(AN30:AR30)</f>
        <v>158770.45</v>
      </c>
      <c r="AN30" s="13"/>
      <c r="AO30" s="13">
        <f>158759.63+10.82</f>
        <v>158770.45</v>
      </c>
      <c r="AP30" s="13"/>
      <c r="AQ30" s="13"/>
      <c r="AR30" s="13"/>
      <c r="AS30" s="37"/>
      <c r="AT30" s="15">
        <f>SUM(AU30:AY30)</f>
        <v>19785.736949999995</v>
      </c>
      <c r="AU30" s="37"/>
      <c r="AV30" s="37">
        <f>(M30-AH30)*F30</f>
        <v>19785.736949999995</v>
      </c>
      <c r="AW30" s="37"/>
      <c r="AX30" s="37"/>
      <c r="AY30" s="37"/>
      <c r="AZ30" s="13"/>
    </row>
    <row r="31" spans="1:52" ht="41.25" customHeight="1">
      <c r="A31" s="38"/>
      <c r="B31" s="39" t="s">
        <v>22</v>
      </c>
      <c r="C31" s="40"/>
      <c r="D31" s="75">
        <f t="shared" si="24"/>
        <v>119.9</v>
      </c>
      <c r="E31" s="76"/>
      <c r="F31" s="76"/>
      <c r="G31" s="77">
        <v>119.9</v>
      </c>
      <c r="H31" s="76"/>
      <c r="I31" s="76"/>
      <c r="J31" s="76"/>
      <c r="K31" s="14">
        <f t="shared" si="5"/>
        <v>27.87164303586322</v>
      </c>
      <c r="L31" s="13"/>
      <c r="M31" s="122"/>
      <c r="N31" s="13">
        <v>27.87</v>
      </c>
      <c r="O31" s="13"/>
      <c r="P31" s="13"/>
      <c r="Q31" s="13"/>
      <c r="R31" s="14">
        <f t="shared" si="25"/>
        <v>3341.81</v>
      </c>
      <c r="S31" s="13"/>
      <c r="T31" s="13"/>
      <c r="U31" s="13">
        <v>3341.81</v>
      </c>
      <c r="V31" s="13"/>
      <c r="W31" s="13"/>
      <c r="X31" s="13"/>
      <c r="Y31" s="64">
        <f>SUM(Z31:AD31)</f>
        <v>110.80020181634713</v>
      </c>
      <c r="Z31" s="65"/>
      <c r="AA31" s="65"/>
      <c r="AB31" s="65">
        <f>AP31/AI31</f>
        <v>110.80020181634713</v>
      </c>
      <c r="AC31" s="65"/>
      <c r="AD31" s="65"/>
      <c r="AE31" s="65"/>
      <c r="AF31" s="14">
        <f>AM31/Y31</f>
        <v>19.82</v>
      </c>
      <c r="AG31" s="13"/>
      <c r="AH31" s="13"/>
      <c r="AI31" s="13">
        <v>19.82</v>
      </c>
      <c r="AJ31" s="13"/>
      <c r="AK31" s="13"/>
      <c r="AL31" s="13"/>
      <c r="AM31" s="14">
        <f>SUM(AN31:AR31)</f>
        <v>2196.06</v>
      </c>
      <c r="AN31" s="13"/>
      <c r="AO31" s="13"/>
      <c r="AP31" s="13">
        <v>2196.06</v>
      </c>
      <c r="AQ31" s="13"/>
      <c r="AR31" s="13"/>
      <c r="AS31" s="13"/>
      <c r="AT31" s="15">
        <f>SUM(AU31:AY31)</f>
        <v>965.1950000000002</v>
      </c>
      <c r="AU31" s="37"/>
      <c r="AV31" s="37"/>
      <c r="AW31" s="37">
        <f>(N31-AI31)*G31</f>
        <v>965.1950000000002</v>
      </c>
      <c r="AX31" s="37"/>
      <c r="AY31" s="37"/>
      <c r="AZ31" s="13"/>
    </row>
    <row r="32" spans="1:52" ht="39" customHeight="1">
      <c r="A32" s="9"/>
      <c r="B32" s="43" t="s">
        <v>25</v>
      </c>
      <c r="C32" s="32"/>
      <c r="D32" s="75">
        <f t="shared" si="24"/>
        <v>43161.43</v>
      </c>
      <c r="E32" s="34">
        <v>3903</v>
      </c>
      <c r="F32" s="34">
        <v>6645.09</v>
      </c>
      <c r="G32" s="34">
        <v>14689.52</v>
      </c>
      <c r="H32" s="34">
        <v>9948.65</v>
      </c>
      <c r="I32" s="34">
        <v>7975.17</v>
      </c>
      <c r="J32" s="96"/>
      <c r="K32" s="120">
        <f t="shared" si="5"/>
        <v>19.953799955191474</v>
      </c>
      <c r="L32" s="36">
        <v>19.95</v>
      </c>
      <c r="M32" s="36">
        <v>19.95</v>
      </c>
      <c r="N32" s="36">
        <v>19.95</v>
      </c>
      <c r="O32" s="36">
        <v>19.95</v>
      </c>
      <c r="P32" s="36">
        <v>19.95</v>
      </c>
      <c r="Q32" s="36"/>
      <c r="R32" s="14">
        <f t="shared" si="25"/>
        <v>861234.54</v>
      </c>
      <c r="S32" s="36">
        <v>77879.68</v>
      </c>
      <c r="T32" s="36">
        <v>132594.81</v>
      </c>
      <c r="U32" s="36">
        <v>293111.75</v>
      </c>
      <c r="V32" s="36">
        <v>198513.36</v>
      </c>
      <c r="W32" s="36">
        <v>159134.94</v>
      </c>
      <c r="X32" s="36"/>
      <c r="Y32" s="67">
        <f>SUM(Z32:AD32)</f>
        <v>43027.5853133537</v>
      </c>
      <c r="Z32" s="97">
        <f>AN32/AG32</f>
        <v>3928.342828077314</v>
      </c>
      <c r="AA32" s="97">
        <f>AO32/AH32</f>
        <v>6642.485757884028</v>
      </c>
      <c r="AB32" s="97">
        <f>AP32/AI32</f>
        <v>14739.49142280525</v>
      </c>
      <c r="AC32" s="97">
        <f>AQ32/AJ32</f>
        <v>9960.769152714356</v>
      </c>
      <c r="AD32" s="97">
        <f>AR32/AK32</f>
        <v>7756.496151872757</v>
      </c>
      <c r="AE32" s="97"/>
      <c r="AF32" s="121">
        <f t="shared" si="22"/>
        <v>19.695738764522044</v>
      </c>
      <c r="AG32" s="37">
        <v>19.66</v>
      </c>
      <c r="AH32" s="37">
        <v>19.66</v>
      </c>
      <c r="AI32" s="37">
        <v>19.82</v>
      </c>
      <c r="AJ32" s="37">
        <v>19.71</v>
      </c>
      <c r="AK32" s="37">
        <v>19.49</v>
      </c>
      <c r="AL32" s="37"/>
      <c r="AM32" s="15">
        <f>SUM(AN32:AS32)</f>
        <v>847460.08</v>
      </c>
      <c r="AN32" s="36">
        <f>77221.37+9.85</f>
        <v>77231.22</v>
      </c>
      <c r="AO32" s="36">
        <f>69634.75+37733.42+23223.1</f>
        <v>130591.26999999999</v>
      </c>
      <c r="AP32" s="36">
        <f>114209.84+177876.45+50.43</f>
        <v>292136.72000000003</v>
      </c>
      <c r="AQ32" s="36">
        <f>134025.59+44224.28+18067.99+3.75+5.15</f>
        <v>196326.75999999998</v>
      </c>
      <c r="AR32" s="36">
        <f>150030.38+1143.73</f>
        <v>151174.11000000002</v>
      </c>
      <c r="AS32" s="37"/>
      <c r="AT32" s="15">
        <f>SUM(AU32:AY32)</f>
        <v>11024.837899999968</v>
      </c>
      <c r="AU32" s="37">
        <f>(L32-AG32)*E32</f>
        <v>1131.8699999999967</v>
      </c>
      <c r="AV32" s="37">
        <f>(M32-AH32)*F32</f>
        <v>1927.0760999999943</v>
      </c>
      <c r="AW32" s="37">
        <f>(N32-AI32)*G32</f>
        <v>1909.6375999999855</v>
      </c>
      <c r="AX32" s="37">
        <f>(O32-AJ32)*H32</f>
        <v>2387.6759999999845</v>
      </c>
      <c r="AY32" s="37">
        <f>(P32-AK32)*I32</f>
        <v>3668.5782000000067</v>
      </c>
      <c r="AZ32" s="37"/>
    </row>
    <row r="33" spans="1:52" ht="76.5" customHeight="1">
      <c r="A33" s="74"/>
      <c r="B33" s="31" t="s">
        <v>27</v>
      </c>
      <c r="C33" s="40"/>
      <c r="D33" s="75">
        <f t="shared" si="24"/>
        <v>21156.120000000003</v>
      </c>
      <c r="E33" s="65">
        <v>4573.8</v>
      </c>
      <c r="F33" s="65">
        <v>15626.76</v>
      </c>
      <c r="G33" s="76"/>
      <c r="H33" s="76"/>
      <c r="I33" s="76"/>
      <c r="J33" s="65">
        <v>955.56</v>
      </c>
      <c r="K33" s="14">
        <f t="shared" si="5"/>
        <v>28.650399978824094</v>
      </c>
      <c r="L33" s="13">
        <v>28.65</v>
      </c>
      <c r="M33" s="13">
        <v>28.65</v>
      </c>
      <c r="N33" s="13"/>
      <c r="O33" s="13"/>
      <c r="P33" s="13"/>
      <c r="Q33" s="13">
        <v>28.65</v>
      </c>
      <c r="R33" s="14">
        <f t="shared" si="25"/>
        <v>606131.3</v>
      </c>
      <c r="S33" s="13">
        <v>131041.2</v>
      </c>
      <c r="T33" s="13">
        <v>447712.93</v>
      </c>
      <c r="U33" s="13"/>
      <c r="V33" s="13"/>
      <c r="W33" s="13"/>
      <c r="X33" s="13">
        <v>27377.17</v>
      </c>
      <c r="Y33" s="64">
        <f>SUM(Z33:AE33)</f>
        <v>21268.018127302155</v>
      </c>
      <c r="Z33" s="65">
        <f>AN33/AG33</f>
        <v>4579.701932858597</v>
      </c>
      <c r="AA33" s="65">
        <f>AO33/AH33</f>
        <v>15732.7492370295</v>
      </c>
      <c r="AB33" s="65"/>
      <c r="AC33" s="65"/>
      <c r="AD33" s="65"/>
      <c r="AE33" s="65">
        <f>AS33/AL33</f>
        <v>955.5669574140586</v>
      </c>
      <c r="AF33" s="14">
        <f t="shared" si="22"/>
        <v>19.65236194074182</v>
      </c>
      <c r="AG33" s="13">
        <v>19.66</v>
      </c>
      <c r="AH33" s="13">
        <v>19.66</v>
      </c>
      <c r="AI33" s="13"/>
      <c r="AJ33" s="13"/>
      <c r="AK33" s="13"/>
      <c r="AL33" s="37">
        <v>19.49</v>
      </c>
      <c r="AM33" s="15">
        <f>SUM(AN33:AS33)</f>
        <v>417966.79</v>
      </c>
      <c r="AN33" s="13">
        <f>90036.94</f>
        <v>90036.94</v>
      </c>
      <c r="AO33" s="13">
        <f>243267.44+65201.58+611.04+225.79</f>
        <v>309305.85</v>
      </c>
      <c r="AP33" s="13"/>
      <c r="AQ33" s="13"/>
      <c r="AR33" s="13"/>
      <c r="AS33" s="37">
        <v>18624</v>
      </c>
      <c r="AT33" s="14">
        <f>SUM(AU33:AZ33)</f>
        <v>190355.96399999998</v>
      </c>
      <c r="AU33" s="37">
        <f>(L33-AG33)*E33</f>
        <v>41118.46199999999</v>
      </c>
      <c r="AV33" s="37">
        <f>(M33-AH33)*F33</f>
        <v>140484.57239999998</v>
      </c>
      <c r="AW33" s="37"/>
      <c r="AX33" s="37"/>
      <c r="AY33" s="37"/>
      <c r="AZ33" s="37">
        <f>(Q33-AL33)*J33</f>
        <v>8752.9296</v>
      </c>
    </row>
    <row r="34" spans="1:52" ht="35.25" customHeight="1">
      <c r="A34" s="38"/>
      <c r="B34" s="39" t="s">
        <v>23</v>
      </c>
      <c r="C34" s="40"/>
      <c r="D34" s="75">
        <f t="shared" si="24"/>
        <v>735.43</v>
      </c>
      <c r="E34" s="76"/>
      <c r="F34" s="65">
        <v>735.43</v>
      </c>
      <c r="G34" s="76"/>
      <c r="H34" s="76"/>
      <c r="I34" s="76"/>
      <c r="J34" s="76"/>
      <c r="K34" s="14">
        <f t="shared" si="5"/>
        <v>21.086588798390057</v>
      </c>
      <c r="L34" s="13"/>
      <c r="M34" s="13">
        <v>21.09</v>
      </c>
      <c r="N34" s="13"/>
      <c r="O34" s="37"/>
      <c r="P34" s="37"/>
      <c r="Q34" s="37"/>
      <c r="R34" s="14">
        <f t="shared" si="25"/>
        <v>15507.71</v>
      </c>
      <c r="S34" s="13"/>
      <c r="T34" s="13">
        <v>15507.71</v>
      </c>
      <c r="U34" s="13"/>
      <c r="V34" s="13"/>
      <c r="W34" s="13"/>
      <c r="X34" s="13"/>
      <c r="Y34" s="67">
        <f>SUM(Z34:AD34)</f>
        <v>735.4237029501526</v>
      </c>
      <c r="Z34" s="97"/>
      <c r="AA34" s="97">
        <f>AO34/AH34</f>
        <v>735.4237029501526</v>
      </c>
      <c r="AB34" s="97"/>
      <c r="AC34" s="97"/>
      <c r="AD34" s="97"/>
      <c r="AE34" s="97"/>
      <c r="AF34" s="14">
        <f t="shared" si="22"/>
        <v>19.66</v>
      </c>
      <c r="AG34" s="37"/>
      <c r="AH34" s="37">
        <v>19.66</v>
      </c>
      <c r="AI34" s="37"/>
      <c r="AJ34" s="37"/>
      <c r="AK34" s="37"/>
      <c r="AL34" s="37"/>
      <c r="AM34" s="15">
        <f>SUM(AN34:AR34)</f>
        <v>14458.43</v>
      </c>
      <c r="AN34" s="13"/>
      <c r="AO34" s="13">
        <f>14190.95+267.48</f>
        <v>14458.43</v>
      </c>
      <c r="AP34" s="13"/>
      <c r="AQ34" s="13"/>
      <c r="AR34" s="13"/>
      <c r="AS34" s="37"/>
      <c r="AT34" s="14">
        <f>SUM(AU34:AZ34)</f>
        <v>1051.6648999999998</v>
      </c>
      <c r="AU34" s="37"/>
      <c r="AV34" s="37">
        <f>(M34-AH34)*F34</f>
        <v>1051.6648999999998</v>
      </c>
      <c r="AW34" s="37"/>
      <c r="AX34" s="37"/>
      <c r="AY34" s="37"/>
      <c r="AZ34" s="13"/>
    </row>
    <row r="35" spans="1:52" ht="35.25" customHeight="1">
      <c r="A35" s="38"/>
      <c r="B35" s="39" t="s">
        <v>44</v>
      </c>
      <c r="C35" s="40"/>
      <c r="D35" s="75">
        <f t="shared" si="24"/>
        <v>0</v>
      </c>
      <c r="E35" s="76"/>
      <c r="F35" s="76"/>
      <c r="G35" s="76"/>
      <c r="H35" s="76">
        <f>V35/O35</f>
        <v>0</v>
      </c>
      <c r="I35" s="76"/>
      <c r="J35" s="76"/>
      <c r="K35" s="14" t="e">
        <f t="shared" si="5"/>
        <v>#DIV/0!</v>
      </c>
      <c r="L35" s="13"/>
      <c r="M35" s="37"/>
      <c r="N35" s="13"/>
      <c r="O35" s="37">
        <v>34.89</v>
      </c>
      <c r="P35" s="37"/>
      <c r="Q35" s="37"/>
      <c r="R35" s="14">
        <f t="shared" si="25"/>
        <v>0</v>
      </c>
      <c r="S35" s="13"/>
      <c r="T35" s="13"/>
      <c r="U35" s="13"/>
      <c r="V35" s="13"/>
      <c r="W35" s="13"/>
      <c r="X35" s="37"/>
      <c r="Y35" s="67">
        <f>SUM(Z35:AD35)</f>
        <v>0.9984779299847792</v>
      </c>
      <c r="Z35" s="97"/>
      <c r="AA35" s="97"/>
      <c r="AB35" s="97"/>
      <c r="AC35" s="97">
        <f>AQ35/AJ35</f>
        <v>0.9984779299847792</v>
      </c>
      <c r="AD35" s="97"/>
      <c r="AE35" s="97"/>
      <c r="AF35" s="14">
        <f t="shared" si="22"/>
        <v>19.71</v>
      </c>
      <c r="AG35" s="37"/>
      <c r="AH35" s="37"/>
      <c r="AI35" s="37"/>
      <c r="AJ35" s="37">
        <v>19.71</v>
      </c>
      <c r="AK35" s="37"/>
      <c r="AL35" s="37"/>
      <c r="AM35" s="15">
        <f>SUM(AN35:AR35)</f>
        <v>19.68</v>
      </c>
      <c r="AN35" s="13"/>
      <c r="AO35" s="13"/>
      <c r="AP35" s="13"/>
      <c r="AQ35" s="13">
        <f>19.68</f>
        <v>19.68</v>
      </c>
      <c r="AR35" s="13"/>
      <c r="AS35" s="37"/>
      <c r="AT35" s="14">
        <f>SUM(AU35:AZ35)</f>
        <v>0</v>
      </c>
      <c r="AU35" s="37"/>
      <c r="AV35" s="37"/>
      <c r="AW35" s="37"/>
      <c r="AX35" s="37"/>
      <c r="AY35" s="37"/>
      <c r="AZ35" s="13"/>
    </row>
    <row r="36" spans="1:52" ht="42" customHeight="1" thickBot="1">
      <c r="A36" s="78"/>
      <c r="B36" s="79" t="s">
        <v>26</v>
      </c>
      <c r="C36" s="80"/>
      <c r="D36" s="75">
        <f t="shared" si="24"/>
        <v>908.816</v>
      </c>
      <c r="E36" s="81"/>
      <c r="F36" s="81"/>
      <c r="G36" s="81"/>
      <c r="H36" s="81"/>
      <c r="I36" s="34">
        <v>908.816</v>
      </c>
      <c r="J36" s="96"/>
      <c r="K36" s="82">
        <f t="shared" si="5"/>
        <v>26.77420952095914</v>
      </c>
      <c r="L36" s="83"/>
      <c r="M36" s="83"/>
      <c r="N36" s="83"/>
      <c r="O36" s="83"/>
      <c r="P36" s="84">
        <v>26.77</v>
      </c>
      <c r="Q36" s="84"/>
      <c r="R36" s="14">
        <f t="shared" si="25"/>
        <v>24332.83</v>
      </c>
      <c r="S36" s="83"/>
      <c r="T36" s="83"/>
      <c r="U36" s="83"/>
      <c r="V36" s="83"/>
      <c r="W36" s="83">
        <v>24332.83</v>
      </c>
      <c r="X36" s="84"/>
      <c r="Y36" s="87">
        <f>SUM(Z36:AD36)</f>
        <v>908.8163160595178</v>
      </c>
      <c r="Z36" s="99"/>
      <c r="AA36" s="99"/>
      <c r="AB36" s="99"/>
      <c r="AC36" s="99"/>
      <c r="AD36" s="99">
        <f>AR36/AK36</f>
        <v>908.8163160595178</v>
      </c>
      <c r="AE36" s="99"/>
      <c r="AF36" s="85">
        <f t="shared" si="22"/>
        <v>19.49</v>
      </c>
      <c r="AG36" s="84"/>
      <c r="AH36" s="84"/>
      <c r="AI36" s="84"/>
      <c r="AJ36" s="84"/>
      <c r="AK36" s="84">
        <v>19.49</v>
      </c>
      <c r="AL36" s="84"/>
      <c r="AM36" s="86">
        <f>SUM(AN36:AR36)</f>
        <v>17712.83</v>
      </c>
      <c r="AN36" s="83"/>
      <c r="AO36" s="83"/>
      <c r="AP36" s="83"/>
      <c r="AQ36" s="83"/>
      <c r="AR36" s="83">
        <v>17712.83</v>
      </c>
      <c r="AS36" s="84"/>
      <c r="AT36" s="14">
        <f>SUM(AU36:AZ36)</f>
        <v>6616.180480000001</v>
      </c>
      <c r="AU36" s="36"/>
      <c r="AV36" s="36"/>
      <c r="AW36" s="36"/>
      <c r="AX36" s="36"/>
      <c r="AY36" s="37">
        <f>(P36-AK36)*I36</f>
        <v>6616.180480000001</v>
      </c>
      <c r="AZ36" s="50"/>
    </row>
    <row r="37" spans="1:65" s="29" customFormat="1" ht="36.75" customHeight="1" thickBot="1">
      <c r="A37" s="23">
        <v>4</v>
      </c>
      <c r="B37" s="24" t="s">
        <v>3</v>
      </c>
      <c r="C37" s="24" t="s">
        <v>5</v>
      </c>
      <c r="D37" s="141">
        <f aca="true" t="shared" si="26" ref="D37:J37">SUM(D38:D45)</f>
        <v>85675.12615415217</v>
      </c>
      <c r="E37" s="27">
        <f t="shared" si="26"/>
        <v>8867.5</v>
      </c>
      <c r="F37" s="141">
        <f t="shared" si="26"/>
        <v>37659.74015415216</v>
      </c>
      <c r="G37" s="27">
        <f t="shared" si="26"/>
        <v>18544.48</v>
      </c>
      <c r="H37" s="27">
        <f t="shared" si="26"/>
        <v>9444.78</v>
      </c>
      <c r="I37" s="59">
        <f t="shared" si="26"/>
        <v>11158.626</v>
      </c>
      <c r="J37" s="27">
        <f t="shared" si="26"/>
        <v>0</v>
      </c>
      <c r="K37" s="28">
        <f t="shared" si="5"/>
        <v>25.784970611250582</v>
      </c>
      <c r="L37" s="28">
        <f>S37/E37</f>
        <v>24.038270087397798</v>
      </c>
      <c r="M37" s="28">
        <f>T37/F37</f>
        <v>33.656610343347054</v>
      </c>
      <c r="N37" s="28">
        <f>U37/G37</f>
        <v>19.22328477261158</v>
      </c>
      <c r="O37" s="28">
        <f>V37/H37</f>
        <v>17.012900247544145</v>
      </c>
      <c r="P37" s="28">
        <f>W37/I37</f>
        <v>18.936303627346234</v>
      </c>
      <c r="Q37" s="28"/>
      <c r="R37" s="27">
        <f aca="true" t="shared" si="27" ref="R37:AE37">SUM(R38:R45)</f>
        <v>2209130.61</v>
      </c>
      <c r="S37" s="61">
        <f t="shared" si="27"/>
        <v>213159.36</v>
      </c>
      <c r="T37" s="61">
        <f t="shared" si="27"/>
        <v>1267499.2</v>
      </c>
      <c r="U37" s="61">
        <f t="shared" si="27"/>
        <v>356485.82</v>
      </c>
      <c r="V37" s="61">
        <f t="shared" si="27"/>
        <v>160683.1</v>
      </c>
      <c r="W37" s="61">
        <f t="shared" si="27"/>
        <v>211303.13</v>
      </c>
      <c r="X37" s="61">
        <f t="shared" si="27"/>
        <v>0</v>
      </c>
      <c r="Y37" s="59">
        <f t="shared" si="27"/>
        <v>86716.67339058124</v>
      </c>
      <c r="Z37" s="59">
        <f t="shared" si="27"/>
        <v>9678.295906432748</v>
      </c>
      <c r="AA37" s="59">
        <f t="shared" si="27"/>
        <v>37683.102</v>
      </c>
      <c r="AB37" s="59">
        <f t="shared" si="27"/>
        <v>18733.19983048327</v>
      </c>
      <c r="AC37" s="59">
        <f t="shared" si="27"/>
        <v>9684.625219960144</v>
      </c>
      <c r="AD37" s="59">
        <f t="shared" si="27"/>
        <v>10937.45043370508</v>
      </c>
      <c r="AE37" s="59">
        <f t="shared" si="27"/>
        <v>0</v>
      </c>
      <c r="AF37" s="86">
        <f t="shared" si="22"/>
        <v>16.735348961825217</v>
      </c>
      <c r="AG37" s="101">
        <f>AN37/Z37</f>
        <v>17.1</v>
      </c>
      <c r="AH37" s="101">
        <f>AO37/AA37</f>
        <v>17.37982531268259</v>
      </c>
      <c r="AI37" s="101">
        <f>AP37/AB37</f>
        <v>16.468514871548308</v>
      </c>
      <c r="AJ37" s="101">
        <f>AQ37/AC37</f>
        <v>15.051771926038445</v>
      </c>
      <c r="AK37" s="27">
        <f>AR37/AD37</f>
        <v>16.14</v>
      </c>
      <c r="AL37" s="27"/>
      <c r="AM37" s="27">
        <f aca="true" t="shared" si="28" ref="AM37:AZ37">SUM(AM38:AM45)</f>
        <v>1451233.7900000003</v>
      </c>
      <c r="AN37" s="27">
        <f t="shared" si="28"/>
        <v>165498.86</v>
      </c>
      <c r="AO37" s="27">
        <f t="shared" si="28"/>
        <v>654925.73</v>
      </c>
      <c r="AP37" s="27">
        <f t="shared" si="28"/>
        <v>308507.98</v>
      </c>
      <c r="AQ37" s="27">
        <f t="shared" si="28"/>
        <v>145770.77</v>
      </c>
      <c r="AR37" s="27">
        <f t="shared" si="28"/>
        <v>176530.45</v>
      </c>
      <c r="AS37" s="27">
        <f t="shared" si="28"/>
        <v>0</v>
      </c>
      <c r="AT37" s="118">
        <f t="shared" si="28"/>
        <v>774847.6330008354</v>
      </c>
      <c r="AU37" s="27">
        <f t="shared" si="28"/>
        <v>61477.54999999999</v>
      </c>
      <c r="AV37" s="27">
        <f t="shared" si="28"/>
        <v>612889.1881208353</v>
      </c>
      <c r="AW37" s="27">
        <f t="shared" si="28"/>
        <v>50990.374</v>
      </c>
      <c r="AX37" s="27">
        <f t="shared" si="28"/>
        <v>18304.547700000003</v>
      </c>
      <c r="AY37" s="27">
        <f t="shared" si="28"/>
        <v>31185.973179999997</v>
      </c>
      <c r="AZ37" s="27">
        <f t="shared" si="28"/>
        <v>0</v>
      </c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</row>
    <row r="38" spans="1:52" s="4" customFormat="1" ht="63.75" customHeight="1">
      <c r="A38" s="123"/>
      <c r="B38" s="124" t="s">
        <v>39</v>
      </c>
      <c r="C38" s="72"/>
      <c r="D38" s="63">
        <f>SUM(E38:I38)</f>
        <v>14316.290154152162</v>
      </c>
      <c r="E38" s="37"/>
      <c r="F38" s="37">
        <f>T38/M38</f>
        <v>14316.290154152162</v>
      </c>
      <c r="G38" s="37"/>
      <c r="H38" s="37"/>
      <c r="I38" s="37"/>
      <c r="J38" s="37"/>
      <c r="K38" s="63">
        <f t="shared" si="5"/>
        <v>40.22</v>
      </c>
      <c r="L38" s="73"/>
      <c r="M38" s="73">
        <v>40.22</v>
      </c>
      <c r="N38" s="73"/>
      <c r="O38" s="73"/>
      <c r="P38" s="73"/>
      <c r="Q38" s="37"/>
      <c r="R38" s="15">
        <f>SUM(S38:W38)</f>
        <v>575801.19</v>
      </c>
      <c r="S38" s="13"/>
      <c r="T38" s="13">
        <v>575801.19</v>
      </c>
      <c r="U38" s="13"/>
      <c r="V38" s="13"/>
      <c r="W38" s="13"/>
      <c r="X38" s="13"/>
      <c r="Y38" s="67">
        <f>SUM(Z38:AD38)</f>
        <v>14329.687</v>
      </c>
      <c r="Z38" s="97"/>
      <c r="AA38" s="97">
        <f>ROUND(AO38/AH38,3)</f>
        <v>14329.687</v>
      </c>
      <c r="AB38" s="97"/>
      <c r="AC38" s="97"/>
      <c r="AD38" s="97"/>
      <c r="AE38" s="97"/>
      <c r="AF38" s="14">
        <f>AM38/Y38</f>
        <v>17.379999995812888</v>
      </c>
      <c r="AG38" s="37"/>
      <c r="AH38" s="37">
        <v>17.38</v>
      </c>
      <c r="AI38" s="13"/>
      <c r="AJ38" s="13"/>
      <c r="AK38" s="13"/>
      <c r="AL38" s="37"/>
      <c r="AM38" s="15">
        <f>SUM(AN38:AR38)</f>
        <v>249049.96</v>
      </c>
      <c r="AN38" s="13"/>
      <c r="AO38" s="13">
        <f>11411.19+237638.77</f>
        <v>249049.96</v>
      </c>
      <c r="AP38" s="13"/>
      <c r="AQ38" s="13"/>
      <c r="AR38" s="13"/>
      <c r="AS38" s="13"/>
      <c r="AT38" s="15">
        <f>SUM(AU38:AY38)</f>
        <v>326984.06712083536</v>
      </c>
      <c r="AU38" s="37"/>
      <c r="AV38" s="37">
        <f>(M38-AH38)*F38</f>
        <v>326984.06712083536</v>
      </c>
      <c r="AW38" s="37"/>
      <c r="AX38" s="37"/>
      <c r="AY38" s="37"/>
      <c r="AZ38" s="13"/>
    </row>
    <row r="39" spans="1:52" ht="47.25" customHeight="1">
      <c r="A39" s="38"/>
      <c r="B39" s="39" t="s">
        <v>24</v>
      </c>
      <c r="C39" s="40"/>
      <c r="D39" s="14">
        <f>SUM(E39:I39)</f>
        <v>694.6</v>
      </c>
      <c r="E39" s="13"/>
      <c r="F39" s="13"/>
      <c r="G39" s="13">
        <v>694.6</v>
      </c>
      <c r="H39" s="13"/>
      <c r="I39" s="13"/>
      <c r="J39" s="13"/>
      <c r="K39" s="14">
        <f t="shared" si="5"/>
        <v>27.741808234955368</v>
      </c>
      <c r="L39" s="13"/>
      <c r="M39" s="13"/>
      <c r="N39" s="13">
        <v>27.74</v>
      </c>
      <c r="O39" s="13"/>
      <c r="P39" s="13"/>
      <c r="Q39" s="13"/>
      <c r="R39" s="14">
        <f>SUM(S39:W39)</f>
        <v>19269.46</v>
      </c>
      <c r="S39" s="13"/>
      <c r="T39" s="13"/>
      <c r="U39" s="13">
        <v>19269.46</v>
      </c>
      <c r="V39" s="13"/>
      <c r="W39" s="13"/>
      <c r="X39" s="13"/>
      <c r="Y39" s="64">
        <f>SUM(Z39:AD39)</f>
        <v>790.0975999999999</v>
      </c>
      <c r="Z39" s="65">
        <f>AN39/AG39</f>
        <v>95.49999999999999</v>
      </c>
      <c r="AA39" s="65"/>
      <c r="AB39" s="65">
        <f>AP39/AI39</f>
        <v>694.5975999999999</v>
      </c>
      <c r="AC39" s="65"/>
      <c r="AD39" s="65"/>
      <c r="AE39" s="97"/>
      <c r="AF39" s="14">
        <f>AM39/Y39</f>
        <v>24.045117970235577</v>
      </c>
      <c r="AG39" s="127">
        <v>17.1</v>
      </c>
      <c r="AH39" s="13"/>
      <c r="AI39" s="127">
        <v>25</v>
      </c>
      <c r="AJ39" s="13"/>
      <c r="AK39" s="13"/>
      <c r="AL39" s="13"/>
      <c r="AM39" s="14">
        <f>SUM(AN39:AR39)</f>
        <v>18997.989999999998</v>
      </c>
      <c r="AN39" s="13">
        <v>1633.05</v>
      </c>
      <c r="AO39" s="13"/>
      <c r="AP39" s="13">
        <f>7137.78+10227.16</f>
        <v>17364.94</v>
      </c>
      <c r="AQ39" s="13"/>
      <c r="AR39" s="13"/>
      <c r="AS39" s="13"/>
      <c r="AT39" s="15">
        <f>SUM(AU39:AY39)</f>
        <v>1903.203999999999</v>
      </c>
      <c r="AU39" s="37"/>
      <c r="AV39" s="37"/>
      <c r="AW39" s="37">
        <f>(N39-AI39)*G39</f>
        <v>1903.203999999999</v>
      </c>
      <c r="AX39" s="37"/>
      <c r="AY39" s="37"/>
      <c r="AZ39" s="13"/>
    </row>
    <row r="40" spans="1:52" ht="43.5" customHeight="1">
      <c r="A40" s="9"/>
      <c r="B40" s="43" t="s">
        <v>25</v>
      </c>
      <c r="C40" s="10"/>
      <c r="D40" s="15">
        <f aca="true" t="shared" si="29" ref="D40:D45">SUM(E40:I40)</f>
        <v>39062.94</v>
      </c>
      <c r="E40" s="34">
        <v>3772</v>
      </c>
      <c r="F40" s="34">
        <v>1136.68</v>
      </c>
      <c r="G40" s="34">
        <v>17849.88</v>
      </c>
      <c r="H40" s="34">
        <v>6460.89</v>
      </c>
      <c r="I40" s="34">
        <v>9843.49</v>
      </c>
      <c r="J40" s="96"/>
      <c r="K40" s="120">
        <f t="shared" si="5"/>
        <v>18.891800002764768</v>
      </c>
      <c r="L40" s="37">
        <v>18.89</v>
      </c>
      <c r="M40" s="37">
        <v>18.89</v>
      </c>
      <c r="N40" s="37">
        <v>18.89</v>
      </c>
      <c r="O40" s="37">
        <v>18.89</v>
      </c>
      <c r="P40" s="37">
        <v>18.89</v>
      </c>
      <c r="Q40" s="37"/>
      <c r="R40" s="15">
        <f aca="true" t="shared" si="30" ref="R40:R45">SUM(S40:W40)</f>
        <v>737969.25</v>
      </c>
      <c r="S40" s="37">
        <v>71259.87</v>
      </c>
      <c r="T40" s="37">
        <v>21473.93</v>
      </c>
      <c r="U40" s="37">
        <v>337216.36</v>
      </c>
      <c r="V40" s="37">
        <v>122057.84</v>
      </c>
      <c r="W40" s="37">
        <v>185961.25</v>
      </c>
      <c r="X40" s="37"/>
      <c r="Y40" s="67">
        <f aca="true" t="shared" si="31" ref="Y40:Y45">SUM(Z40:AD40)</f>
        <v>39674.375893388984</v>
      </c>
      <c r="Z40" s="97">
        <f>AN40/AG40</f>
        <v>4269.883625730993</v>
      </c>
      <c r="AA40" s="97">
        <f>ROUND(AO40/AH40,3)</f>
        <v>1146.68</v>
      </c>
      <c r="AB40" s="97">
        <f>AP40/AI40</f>
        <v>18038.60223048327</v>
      </c>
      <c r="AC40" s="97">
        <f>AQ40/AJ40</f>
        <v>6596.895291201982</v>
      </c>
      <c r="AD40" s="97">
        <f>AR40/AK40</f>
        <v>9622.314745972739</v>
      </c>
      <c r="AE40" s="97"/>
      <c r="AF40" s="15">
        <f t="shared" si="22"/>
        <v>16.27915689803256</v>
      </c>
      <c r="AG40" s="37">
        <v>17.1</v>
      </c>
      <c r="AH40" s="37">
        <v>17.38</v>
      </c>
      <c r="AI40" s="37">
        <v>16.14</v>
      </c>
      <c r="AJ40" s="37">
        <v>16.14</v>
      </c>
      <c r="AK40" s="37">
        <v>16.14</v>
      </c>
      <c r="AL40" s="37"/>
      <c r="AM40" s="15">
        <f aca="true" t="shared" si="32" ref="AM40:AM45">SUM(AN40:AR40)</f>
        <v>645865.39</v>
      </c>
      <c r="AN40" s="37">
        <f>73015.01</f>
        <v>73015.01</v>
      </c>
      <c r="AO40" s="37">
        <f>-435.59+173.8+20191.08</f>
        <v>19929.29</v>
      </c>
      <c r="AP40" s="37">
        <f>-1986.29+58856.95+90936.8+143335.58</f>
        <v>291143.04</v>
      </c>
      <c r="AQ40" s="37">
        <f>106473.89</f>
        <v>106473.89</v>
      </c>
      <c r="AR40" s="37">
        <f>28299.37+127004.79</f>
        <v>155304.16</v>
      </c>
      <c r="AS40" s="37"/>
      <c r="AT40" s="15">
        <f aca="true" t="shared" si="33" ref="AT40:AT45">SUM(AU40:AY40)</f>
        <v>102392.48180000001</v>
      </c>
      <c r="AU40" s="37">
        <f>(L40-AG40)*E40</f>
        <v>6751.8799999999965</v>
      </c>
      <c r="AV40" s="37">
        <f>(M40-AH40)*F40</f>
        <v>1716.3868000000018</v>
      </c>
      <c r="AW40" s="37">
        <f>(N40-AI40)*G40</f>
        <v>49087.170000000006</v>
      </c>
      <c r="AX40" s="37">
        <f>(O40-AJ40)*H40</f>
        <v>17767.447500000002</v>
      </c>
      <c r="AY40" s="37">
        <f>(P40-AK40)*I40</f>
        <v>27069.5975</v>
      </c>
      <c r="AZ40" s="37"/>
    </row>
    <row r="41" spans="1:52" ht="47.25" customHeight="1">
      <c r="A41" s="38"/>
      <c r="B41" s="43" t="s">
        <v>29</v>
      </c>
      <c r="C41" s="10"/>
      <c r="D41" s="15">
        <f t="shared" si="29"/>
        <v>2983.89</v>
      </c>
      <c r="E41" s="13"/>
      <c r="F41" s="13"/>
      <c r="G41" s="13"/>
      <c r="H41" s="65">
        <v>2983.89</v>
      </c>
      <c r="I41" s="13"/>
      <c r="J41" s="13"/>
      <c r="K41" s="14">
        <f t="shared" si="5"/>
        <v>12.944599164178305</v>
      </c>
      <c r="L41" s="37"/>
      <c r="M41" s="37"/>
      <c r="N41" s="37"/>
      <c r="O41" s="37">
        <v>12.94</v>
      </c>
      <c r="P41" s="37"/>
      <c r="Q41" s="37"/>
      <c r="R41" s="15">
        <f t="shared" si="30"/>
        <v>38625.26</v>
      </c>
      <c r="S41" s="13"/>
      <c r="T41" s="13"/>
      <c r="U41" s="13"/>
      <c r="V41" s="13">
        <v>38625.26</v>
      </c>
      <c r="W41" s="13"/>
      <c r="X41" s="37"/>
      <c r="Y41" s="67">
        <f t="shared" si="31"/>
        <v>3118.0713166144196</v>
      </c>
      <c r="Z41" s="97"/>
      <c r="AA41" s="65"/>
      <c r="AB41" s="97"/>
      <c r="AC41" s="97">
        <f>AQ41/AJ41</f>
        <v>3118.0713166144196</v>
      </c>
      <c r="AD41" s="97"/>
      <c r="AE41" s="97"/>
      <c r="AF41" s="14">
        <f t="shared" si="22"/>
        <v>12.76</v>
      </c>
      <c r="AG41" s="37"/>
      <c r="AH41" s="37"/>
      <c r="AI41" s="13"/>
      <c r="AJ41" s="13">
        <v>12.76</v>
      </c>
      <c r="AK41" s="13"/>
      <c r="AL41" s="37"/>
      <c r="AM41" s="15">
        <f t="shared" si="32"/>
        <v>39786.59</v>
      </c>
      <c r="AN41" s="13"/>
      <c r="AO41" s="13"/>
      <c r="AP41" s="13"/>
      <c r="AQ41" s="13">
        <f>-486.59+27274.75+12998.43</f>
        <v>39786.59</v>
      </c>
      <c r="AR41" s="13"/>
      <c r="AS41" s="37"/>
      <c r="AT41" s="15">
        <f t="shared" si="33"/>
        <v>537.1001999999992</v>
      </c>
      <c r="AU41" s="37"/>
      <c r="AV41" s="37"/>
      <c r="AW41" s="37"/>
      <c r="AX41" s="37">
        <f>(O41-AJ41)*H41</f>
        <v>537.1001999999992</v>
      </c>
      <c r="AY41" s="37"/>
      <c r="AZ41" s="13"/>
    </row>
    <row r="42" spans="1:52" s="4" customFormat="1" ht="38.25" customHeight="1">
      <c r="A42" s="66"/>
      <c r="B42" s="39" t="s">
        <v>44</v>
      </c>
      <c r="C42" s="39"/>
      <c r="D42" s="15">
        <f>SUM(E42:I42)</f>
        <v>0</v>
      </c>
      <c r="E42" s="37"/>
      <c r="F42" s="37"/>
      <c r="G42" s="37"/>
      <c r="H42" s="37">
        <f>V42/O42</f>
        <v>0</v>
      </c>
      <c r="I42" s="37"/>
      <c r="J42" s="37"/>
      <c r="K42" s="14" t="e">
        <f t="shared" si="5"/>
        <v>#DIV/0!</v>
      </c>
      <c r="L42" s="13"/>
      <c r="M42" s="37"/>
      <c r="N42" s="13"/>
      <c r="O42" s="37">
        <v>22.4</v>
      </c>
      <c r="P42" s="37"/>
      <c r="Q42" s="37"/>
      <c r="R42" s="15">
        <f>SUM(S42:W42)</f>
        <v>0</v>
      </c>
      <c r="S42" s="13"/>
      <c r="T42" s="13"/>
      <c r="U42" s="13"/>
      <c r="V42" s="13"/>
      <c r="W42" s="13"/>
      <c r="X42" s="37"/>
      <c r="Y42" s="67">
        <f>SUM(Z42:AD42)</f>
        <v>-30.341387856257747</v>
      </c>
      <c r="Z42" s="97"/>
      <c r="AA42" s="97"/>
      <c r="AB42" s="97"/>
      <c r="AC42" s="97">
        <f>AQ42/AJ42</f>
        <v>-30.341387856257747</v>
      </c>
      <c r="AD42" s="97"/>
      <c r="AE42" s="97"/>
      <c r="AF42" s="14">
        <f>AM42/Y42</f>
        <v>16.14</v>
      </c>
      <c r="AG42" s="37"/>
      <c r="AH42" s="37"/>
      <c r="AI42" s="13"/>
      <c r="AJ42" s="13">
        <v>16.14</v>
      </c>
      <c r="AK42" s="13"/>
      <c r="AL42" s="37"/>
      <c r="AM42" s="15">
        <f>SUM(AN42:AR42)</f>
        <v>-489.71000000000004</v>
      </c>
      <c r="AN42" s="13"/>
      <c r="AO42" s="13"/>
      <c r="AP42" s="13"/>
      <c r="AQ42" s="13">
        <f>-505.85+16.14</f>
        <v>-489.71000000000004</v>
      </c>
      <c r="AR42" s="13"/>
      <c r="AS42" s="37"/>
      <c r="AT42" s="15">
        <f>SUM(AU42:AY42)</f>
        <v>0</v>
      </c>
      <c r="AU42" s="37"/>
      <c r="AV42" s="37"/>
      <c r="AW42" s="37"/>
      <c r="AX42" s="37"/>
      <c r="AY42" s="37"/>
      <c r="AZ42" s="13"/>
    </row>
    <row r="43" spans="1:52" ht="36" customHeight="1">
      <c r="A43" s="66"/>
      <c r="B43" s="39" t="s">
        <v>26</v>
      </c>
      <c r="C43" s="39"/>
      <c r="D43" s="64">
        <f>SUM(E43:I43)</f>
        <v>1315.136</v>
      </c>
      <c r="E43" s="125"/>
      <c r="F43" s="125"/>
      <c r="G43" s="125"/>
      <c r="H43" s="125"/>
      <c r="I43" s="128">
        <v>1315.136</v>
      </c>
      <c r="J43" s="13"/>
      <c r="K43" s="126">
        <f t="shared" si="5"/>
        <v>19.269398754197287</v>
      </c>
      <c r="L43" s="13"/>
      <c r="M43" s="13"/>
      <c r="N43" s="13"/>
      <c r="O43" s="13"/>
      <c r="P43" s="13">
        <v>19.27</v>
      </c>
      <c r="Q43" s="13"/>
      <c r="R43" s="14">
        <f>SUM(S43:W43)</f>
        <v>25341.88</v>
      </c>
      <c r="S43" s="13"/>
      <c r="T43" s="13"/>
      <c r="U43" s="13"/>
      <c r="V43" s="13"/>
      <c r="W43" s="13">
        <v>25341.88</v>
      </c>
      <c r="X43" s="13"/>
      <c r="Y43" s="64">
        <f>SUM(Z43:AD43)</f>
        <v>1315.135687732342</v>
      </c>
      <c r="Z43" s="65"/>
      <c r="AA43" s="65"/>
      <c r="AB43" s="65"/>
      <c r="AC43" s="65"/>
      <c r="AD43" s="65">
        <f>AR43/AK43</f>
        <v>1315.135687732342</v>
      </c>
      <c r="AE43" s="65"/>
      <c r="AF43" s="14">
        <f>AM43/Y43</f>
        <v>16.14</v>
      </c>
      <c r="AG43" s="13"/>
      <c r="AH43" s="13"/>
      <c r="AI43" s="13"/>
      <c r="AJ43" s="13"/>
      <c r="AK43" s="13">
        <v>16.14</v>
      </c>
      <c r="AL43" s="13"/>
      <c r="AM43" s="14">
        <f>SUM(AN43:AR43)</f>
        <v>21226.29</v>
      </c>
      <c r="AN43" s="13"/>
      <c r="AO43" s="13"/>
      <c r="AP43" s="13"/>
      <c r="AQ43" s="13"/>
      <c r="AR43" s="13">
        <f>7855.73+13370.56</f>
        <v>21226.29</v>
      </c>
      <c r="AS43" s="13"/>
      <c r="AT43" s="14">
        <f>SUM(AU43:AY43)</f>
        <v>4116.375679999998</v>
      </c>
      <c r="AU43" s="37"/>
      <c r="AV43" s="37"/>
      <c r="AW43" s="37"/>
      <c r="AX43" s="37"/>
      <c r="AY43" s="37">
        <f>(P43-AK43)*I43</f>
        <v>4116.375679999998</v>
      </c>
      <c r="AZ43" s="13"/>
    </row>
    <row r="44" spans="1:52" ht="81.75" customHeight="1">
      <c r="A44" s="9"/>
      <c r="B44" s="43" t="s">
        <v>27</v>
      </c>
      <c r="C44" s="10"/>
      <c r="D44" s="15">
        <f t="shared" si="29"/>
        <v>9526.27</v>
      </c>
      <c r="E44" s="97">
        <v>5095.5</v>
      </c>
      <c r="F44" s="97">
        <v>4430.77</v>
      </c>
      <c r="G44" s="37"/>
      <c r="H44" s="37"/>
      <c r="I44" s="37"/>
      <c r="J44" s="37"/>
      <c r="K44" s="15">
        <f t="shared" si="5"/>
        <v>27.848002418575156</v>
      </c>
      <c r="L44" s="37">
        <v>27.84</v>
      </c>
      <c r="M44" s="37">
        <v>27.84</v>
      </c>
      <c r="N44" s="37"/>
      <c r="O44" s="37"/>
      <c r="P44" s="37"/>
      <c r="Q44" s="37"/>
      <c r="R44" s="15">
        <f t="shared" si="30"/>
        <v>265287.58999999997</v>
      </c>
      <c r="S44" s="37">
        <v>141899.49</v>
      </c>
      <c r="T44" s="37">
        <v>123388.1</v>
      </c>
      <c r="U44" s="37"/>
      <c r="V44" s="37"/>
      <c r="W44" s="37"/>
      <c r="X44" s="37"/>
      <c r="Y44" s="67">
        <f t="shared" si="31"/>
        <v>9743.647280701753</v>
      </c>
      <c r="Z44" s="97">
        <f>AN44/AG44</f>
        <v>5312.912280701754</v>
      </c>
      <c r="AA44" s="97">
        <f>ROUND(AO44/AH44,3)</f>
        <v>4430.735</v>
      </c>
      <c r="AB44" s="97"/>
      <c r="AC44" s="97"/>
      <c r="AD44" s="97"/>
      <c r="AE44" s="97"/>
      <c r="AF44" s="15">
        <f t="shared" si="22"/>
        <v>17.22732516523429</v>
      </c>
      <c r="AG44" s="37">
        <v>17.1</v>
      </c>
      <c r="AH44" s="37">
        <v>17.38</v>
      </c>
      <c r="AI44" s="37"/>
      <c r="AJ44" s="37"/>
      <c r="AK44" s="37"/>
      <c r="AL44" s="37"/>
      <c r="AM44" s="15">
        <f>SUM(AN44:AS44)</f>
        <v>167856.97999999998</v>
      </c>
      <c r="AN44" s="37">
        <f>10145.34+80705.46</f>
        <v>90850.8</v>
      </c>
      <c r="AO44" s="37">
        <f>22007.67+54998.51</f>
        <v>77006.18</v>
      </c>
      <c r="AP44" s="37"/>
      <c r="AQ44" s="37"/>
      <c r="AR44" s="37"/>
      <c r="AS44" s="37"/>
      <c r="AT44" s="15">
        <f t="shared" si="33"/>
        <v>101071.5242</v>
      </c>
      <c r="AU44" s="37">
        <f>(L44-AG44)*E44</f>
        <v>54725.66999999999</v>
      </c>
      <c r="AV44" s="37">
        <f>(M44-AH44)*F44</f>
        <v>46345.85420000001</v>
      </c>
      <c r="AW44" s="37"/>
      <c r="AX44" s="37"/>
      <c r="AY44" s="37"/>
      <c r="AZ44" s="13"/>
    </row>
    <row r="45" spans="1:52" ht="81.75" customHeight="1" thickBot="1">
      <c r="A45" s="38"/>
      <c r="B45" s="39" t="s">
        <v>28</v>
      </c>
      <c r="C45" s="40"/>
      <c r="D45" s="15">
        <f t="shared" si="29"/>
        <v>17776</v>
      </c>
      <c r="E45" s="13"/>
      <c r="F45" s="65">
        <v>17776</v>
      </c>
      <c r="G45" s="37"/>
      <c r="H45" s="37"/>
      <c r="I45" s="37"/>
      <c r="J45" s="37"/>
      <c r="K45" s="14">
        <f t="shared" si="5"/>
        <v>30.7626001350135</v>
      </c>
      <c r="L45" s="13"/>
      <c r="M45" s="37">
        <v>30.76</v>
      </c>
      <c r="N45" s="37"/>
      <c r="O45" s="37"/>
      <c r="P45" s="37"/>
      <c r="Q45" s="37"/>
      <c r="R45" s="15">
        <f t="shared" si="30"/>
        <v>546835.98</v>
      </c>
      <c r="S45" s="13"/>
      <c r="T45" s="13">
        <v>546835.98</v>
      </c>
      <c r="U45" s="13"/>
      <c r="V45" s="13"/>
      <c r="W45" s="13"/>
      <c r="X45" s="37"/>
      <c r="Y45" s="67">
        <f t="shared" si="31"/>
        <v>17776</v>
      </c>
      <c r="Z45" s="97"/>
      <c r="AA45" s="97">
        <f>ROUND(AO45/AH45,0)</f>
        <v>17776</v>
      </c>
      <c r="AB45" s="97" t="s">
        <v>34</v>
      </c>
      <c r="AC45" s="97"/>
      <c r="AD45" s="97"/>
      <c r="AE45" s="97"/>
      <c r="AF45" s="14">
        <f t="shared" si="22"/>
        <v>17.3796298379838</v>
      </c>
      <c r="AG45" s="37"/>
      <c r="AH45" s="37">
        <v>17.38</v>
      </c>
      <c r="AI45" s="13"/>
      <c r="AJ45" s="13"/>
      <c r="AK45" s="13"/>
      <c r="AL45" s="37"/>
      <c r="AM45" s="15">
        <f t="shared" si="32"/>
        <v>308940.3</v>
      </c>
      <c r="AN45" s="13"/>
      <c r="AO45" s="13">
        <f>92197.52+216742.78</f>
        <v>308940.3</v>
      </c>
      <c r="AP45" s="13"/>
      <c r="AQ45" s="13"/>
      <c r="AR45" s="13"/>
      <c r="AS45" s="37"/>
      <c r="AT45" s="15">
        <f t="shared" si="33"/>
        <v>237842.88000000003</v>
      </c>
      <c r="AU45" s="37"/>
      <c r="AV45" s="37">
        <f>(M45-AH45)*F45</f>
        <v>237842.88000000003</v>
      </c>
      <c r="AW45" s="37"/>
      <c r="AX45" s="37"/>
      <c r="AY45" s="37"/>
      <c r="AZ45" s="13"/>
    </row>
    <row r="46" spans="1:65" s="91" customFormat="1" ht="27.75" customHeight="1" thickBot="1">
      <c r="A46" s="88"/>
      <c r="B46" s="89" t="s">
        <v>52</v>
      </c>
      <c r="C46" s="89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>
        <f aca="true" t="shared" si="34" ref="R46:X46">R37+R27+R19+R7</f>
        <v>6028749.9799999995</v>
      </c>
      <c r="S46" s="90">
        <f t="shared" si="34"/>
        <v>528955.63</v>
      </c>
      <c r="T46" s="90">
        <f t="shared" si="34"/>
        <v>2975128.58</v>
      </c>
      <c r="U46" s="90">
        <f t="shared" si="34"/>
        <v>1353627.4</v>
      </c>
      <c r="V46" s="90">
        <f t="shared" si="34"/>
        <v>359196.45999999996</v>
      </c>
      <c r="W46" s="90">
        <f t="shared" si="34"/>
        <v>770882.8300000001</v>
      </c>
      <c r="X46" s="90">
        <f t="shared" si="34"/>
        <v>40959.08</v>
      </c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>
        <f aca="true" t="shared" si="35" ref="AM46:AZ46">AM37+AM27+AM19+AM7</f>
        <v>3973222.0300000003</v>
      </c>
      <c r="AN46" s="90">
        <f t="shared" si="35"/>
        <v>380946.47</v>
      </c>
      <c r="AO46" s="90">
        <f t="shared" si="35"/>
        <v>1852594.31</v>
      </c>
      <c r="AP46" s="90">
        <f t="shared" si="35"/>
        <v>853600.6800000002</v>
      </c>
      <c r="AQ46" s="90">
        <f t="shared" si="35"/>
        <v>336929.91</v>
      </c>
      <c r="AR46" s="90">
        <f t="shared" si="35"/>
        <v>519155.96</v>
      </c>
      <c r="AS46" s="90">
        <f t="shared" si="35"/>
        <v>29994.7</v>
      </c>
      <c r="AT46" s="90">
        <f t="shared" si="35"/>
        <v>2016041.4646448356</v>
      </c>
      <c r="AU46" s="90">
        <f t="shared" si="35"/>
        <v>162421.833265</v>
      </c>
      <c r="AV46" s="90">
        <f t="shared" si="35"/>
        <v>1121008.8375508355</v>
      </c>
      <c r="AW46" s="90">
        <f t="shared" si="35"/>
        <v>451244.851905</v>
      </c>
      <c r="AX46" s="90">
        <f t="shared" si="35"/>
        <v>20692.223699999988</v>
      </c>
      <c r="AY46" s="90">
        <f t="shared" si="35"/>
        <v>249710.91562400002</v>
      </c>
      <c r="AZ46" s="90">
        <f t="shared" si="35"/>
        <v>10962.8026</v>
      </c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</row>
    <row r="47" spans="5:25" ht="25.5" customHeight="1">
      <c r="E47" s="6"/>
      <c r="Y47" s="6"/>
    </row>
    <row r="48" spans="2:57" ht="55.5" customHeight="1">
      <c r="B48" s="208"/>
      <c r="C48" s="208"/>
      <c r="D48" s="208"/>
      <c r="E48" s="208"/>
      <c r="U48" s="208"/>
      <c r="V48" s="208"/>
      <c r="W48" s="94"/>
      <c r="X48" s="94"/>
      <c r="Y48" s="94"/>
      <c r="Z48" s="94"/>
      <c r="AT48" s="213" t="s">
        <v>19</v>
      </c>
      <c r="AU48" s="213"/>
      <c r="AV48" s="213"/>
      <c r="AW48" s="213"/>
      <c r="AY48" s="214" t="s">
        <v>45</v>
      </c>
      <c r="AZ48" s="214"/>
      <c r="BA48" s="208"/>
      <c r="BB48" s="208"/>
      <c r="BC48" s="208"/>
      <c r="BD48" s="208"/>
      <c r="BE48" s="208"/>
    </row>
    <row r="49" spans="5:26" ht="55.5" customHeight="1">
      <c r="E49" s="6"/>
      <c r="Y49" s="6"/>
      <c r="Z49" s="6"/>
    </row>
    <row r="50" spans="5:54" ht="26.25">
      <c r="E50" s="6"/>
      <c r="Y50" s="6"/>
      <c r="Z50" s="6"/>
      <c r="AT50" s="6"/>
      <c r="AV50" s="93"/>
      <c r="BA50" s="6"/>
      <c r="BB50" s="6"/>
    </row>
    <row r="51" spans="5:26" ht="26.25">
      <c r="E51" s="6"/>
      <c r="Y51" s="6"/>
      <c r="Z51" s="6"/>
    </row>
    <row r="52" spans="5:26" ht="26.25">
      <c r="E52" s="6"/>
      <c r="Y52" s="6"/>
      <c r="Z52" s="6"/>
    </row>
    <row r="53" spans="5:26" ht="26.25">
      <c r="E53" s="6"/>
      <c r="Y53" s="6"/>
      <c r="Z53" s="6"/>
    </row>
    <row r="54" spans="5:26" ht="26.25">
      <c r="E54" s="6"/>
      <c r="Y54" s="6"/>
      <c r="Z54" s="6"/>
    </row>
    <row r="55" spans="5:26" ht="26.25">
      <c r="E55" s="6"/>
      <c r="Y55" s="6"/>
      <c r="Z55" s="6"/>
    </row>
    <row r="56" spans="5:26" ht="26.25">
      <c r="E56" s="6"/>
      <c r="Y56" s="6"/>
      <c r="Z56" s="6"/>
    </row>
    <row r="57" spans="5:26" ht="26.25">
      <c r="E57" s="6"/>
      <c r="Y57" s="6"/>
      <c r="Z57" s="6"/>
    </row>
    <row r="58" spans="5:26" ht="26.25">
      <c r="E58" s="6"/>
      <c r="Y58" s="6"/>
      <c r="Z58" s="6"/>
    </row>
    <row r="59" spans="5:26" ht="26.25">
      <c r="E59" s="6"/>
      <c r="Y59" s="6"/>
      <c r="Z59" s="6"/>
    </row>
    <row r="60" spans="5:26" ht="26.25">
      <c r="E60" s="6"/>
      <c r="Y60" s="6"/>
      <c r="Z60" s="6"/>
    </row>
    <row r="61" spans="5:26" ht="26.25">
      <c r="E61" s="6"/>
      <c r="Y61" s="6"/>
      <c r="Z61" s="6"/>
    </row>
    <row r="62" spans="5:26" ht="26.25">
      <c r="E62" s="6"/>
      <c r="Y62" s="6"/>
      <c r="Z62" s="6"/>
    </row>
    <row r="63" spans="5:26" ht="26.25">
      <c r="E63" s="6"/>
      <c r="Y63" s="6"/>
      <c r="Z63" s="6"/>
    </row>
    <row r="64" spans="5:26" ht="26.25">
      <c r="E64" s="6"/>
      <c r="Y64" s="6"/>
      <c r="Z64" s="6"/>
    </row>
    <row r="65" spans="5:26" ht="26.25">
      <c r="E65" s="6"/>
      <c r="Y65" s="6"/>
      <c r="Z65" s="6"/>
    </row>
    <row r="66" spans="5:26" ht="26.25">
      <c r="E66" s="6"/>
      <c r="Y66" s="6"/>
      <c r="Z66" s="6"/>
    </row>
    <row r="67" spans="5:26" ht="26.25">
      <c r="E67" s="6"/>
      <c r="Y67" s="6"/>
      <c r="Z67" s="6"/>
    </row>
    <row r="68" spans="5:26" ht="26.25">
      <c r="E68" s="6"/>
      <c r="Y68" s="6"/>
      <c r="Z68" s="6"/>
    </row>
    <row r="69" spans="5:26" ht="26.25">
      <c r="E69" s="6"/>
      <c r="Y69" s="6"/>
      <c r="Z69" s="6"/>
    </row>
    <row r="70" spans="5:26" ht="26.25">
      <c r="E70" s="6"/>
      <c r="Y70" s="6"/>
      <c r="Z70" s="6"/>
    </row>
    <row r="71" spans="5:26" ht="26.25">
      <c r="E71" s="6"/>
      <c r="Y71" s="6"/>
      <c r="Z71" s="6"/>
    </row>
    <row r="72" spans="5:26" ht="26.25">
      <c r="E72" s="6"/>
      <c r="Y72" s="6"/>
      <c r="Z72" s="6"/>
    </row>
    <row r="73" spans="5:26" ht="26.25">
      <c r="E73" s="6"/>
      <c r="Y73" s="6"/>
      <c r="Z73" s="6"/>
    </row>
    <row r="74" spans="5:26" ht="26.25">
      <c r="E74" s="6"/>
      <c r="Y74" s="6"/>
      <c r="Z74" s="6"/>
    </row>
    <row r="75" spans="5:26" ht="26.25">
      <c r="E75" s="6"/>
      <c r="Y75" s="6"/>
      <c r="Z75" s="6"/>
    </row>
    <row r="76" spans="5:26" ht="26.25">
      <c r="E76" s="6"/>
      <c r="Y76" s="6"/>
      <c r="Z76" s="6"/>
    </row>
    <row r="77" spans="5:26" ht="26.25">
      <c r="E77" s="6"/>
      <c r="Y77" s="6"/>
      <c r="Z77" s="6"/>
    </row>
    <row r="78" spans="5:26" ht="26.25">
      <c r="E78" s="6"/>
      <c r="Y78" s="6"/>
      <c r="Z78" s="6"/>
    </row>
    <row r="79" spans="5:26" ht="26.25">
      <c r="E79" s="6"/>
      <c r="Y79" s="6"/>
      <c r="Z79" s="6"/>
    </row>
    <row r="80" spans="5:26" ht="26.25">
      <c r="E80" s="6"/>
      <c r="Y80" s="6"/>
      <c r="Z80" s="6"/>
    </row>
    <row r="81" spans="5:26" ht="26.25">
      <c r="E81" s="6"/>
      <c r="Y81" s="6"/>
      <c r="Z81" s="6"/>
    </row>
    <row r="82" spans="5:26" ht="26.25">
      <c r="E82" s="6"/>
      <c r="Y82" s="6"/>
      <c r="Z82" s="6"/>
    </row>
    <row r="83" spans="5:26" ht="26.25">
      <c r="E83" s="6"/>
      <c r="Y83" s="6"/>
      <c r="Z83" s="6"/>
    </row>
    <row r="84" spans="5:26" ht="26.25">
      <c r="E84" s="6"/>
      <c r="Y84" s="6"/>
      <c r="Z84" s="6"/>
    </row>
    <row r="85" spans="5:26" ht="26.25">
      <c r="E85" s="6"/>
      <c r="Y85" s="6"/>
      <c r="Z85" s="6"/>
    </row>
    <row r="86" spans="5:26" ht="26.25">
      <c r="E86" s="6"/>
      <c r="Y86" s="6"/>
      <c r="Z86" s="6"/>
    </row>
    <row r="87" spans="5:26" ht="26.25">
      <c r="E87" s="6"/>
      <c r="Y87" s="6"/>
      <c r="Z87" s="6"/>
    </row>
    <row r="88" spans="5:26" ht="26.25">
      <c r="E88" s="6"/>
      <c r="Y88" s="6"/>
      <c r="Z88" s="6"/>
    </row>
    <row r="89" spans="5:26" ht="26.25">
      <c r="E89" s="6"/>
      <c r="Y89" s="6"/>
      <c r="Z89" s="6"/>
    </row>
    <row r="90" spans="25:26" ht="26.25">
      <c r="Y90" s="6"/>
      <c r="Z90" s="6"/>
    </row>
    <row r="91" spans="25:26" ht="26.25">
      <c r="Y91" s="6"/>
      <c r="Z91" s="6"/>
    </row>
    <row r="92" spans="25:26" ht="26.25">
      <c r="Y92" s="6"/>
      <c r="Z92" s="6"/>
    </row>
    <row r="93" spans="25:26" ht="26.25">
      <c r="Y93" s="6"/>
      <c r="Z93" s="6"/>
    </row>
    <row r="94" spans="25:26" ht="26.25">
      <c r="Y94" s="6"/>
      <c r="Z94" s="6"/>
    </row>
    <row r="95" spans="25:26" ht="26.25">
      <c r="Y95" s="6"/>
      <c r="Z95" s="6"/>
    </row>
    <row r="96" spans="25:26" ht="26.25">
      <c r="Y96" s="6"/>
      <c r="Z96" s="6"/>
    </row>
    <row r="97" spans="25:26" ht="26.25">
      <c r="Y97" s="6"/>
      <c r="Z97" s="6"/>
    </row>
    <row r="98" spans="25:26" ht="26.25">
      <c r="Y98" s="6"/>
      <c r="Z98" s="6"/>
    </row>
    <row r="99" spans="25:26" ht="26.25">
      <c r="Y99" s="6"/>
      <c r="Z99" s="6"/>
    </row>
    <row r="100" spans="25:26" ht="26.25">
      <c r="Y100" s="6"/>
      <c r="Z100" s="6"/>
    </row>
    <row r="101" spans="25:26" ht="26.25">
      <c r="Y101" s="6"/>
      <c r="Z101" s="6"/>
    </row>
    <row r="102" spans="25:26" ht="26.25">
      <c r="Y102" s="6"/>
      <c r="Z102" s="6"/>
    </row>
    <row r="103" spans="25:26" ht="26.25">
      <c r="Y103" s="6"/>
      <c r="Z103" s="6"/>
    </row>
    <row r="104" spans="25:26" ht="26.25">
      <c r="Y104" s="6"/>
      <c r="Z104" s="6"/>
    </row>
    <row r="105" spans="25:26" ht="26.25">
      <c r="Y105" s="6"/>
      <c r="Z105" s="6"/>
    </row>
    <row r="106" spans="25:26" ht="26.25">
      <c r="Y106" s="6"/>
      <c r="Z106" s="6"/>
    </row>
    <row r="107" spans="25:26" ht="26.25">
      <c r="Y107" s="6"/>
      <c r="Z107" s="6"/>
    </row>
    <row r="108" spans="25:26" ht="26.25">
      <c r="Y108" s="6"/>
      <c r="Z108" s="6"/>
    </row>
    <row r="109" spans="25:26" ht="26.25">
      <c r="Y109" s="6"/>
      <c r="Z109" s="6"/>
    </row>
    <row r="110" spans="25:26" ht="26.25">
      <c r="Y110" s="6"/>
      <c r="Z110" s="6"/>
    </row>
    <row r="111" spans="25:26" ht="26.25">
      <c r="Y111" s="6"/>
      <c r="Z111" s="6"/>
    </row>
    <row r="112" spans="25:26" ht="26.25">
      <c r="Y112" s="6"/>
      <c r="Z112" s="6"/>
    </row>
    <row r="113" spans="25:26" ht="26.25">
      <c r="Y113" s="6"/>
      <c r="Z113" s="6"/>
    </row>
    <row r="114" spans="25:26" ht="26.25">
      <c r="Y114" s="6"/>
      <c r="Z114" s="6"/>
    </row>
    <row r="115" spans="25:26" ht="26.25">
      <c r="Y115" s="6"/>
      <c r="Z115" s="6"/>
    </row>
    <row r="116" spans="25:26" ht="26.25">
      <c r="Y116" s="6"/>
      <c r="Z116" s="6"/>
    </row>
    <row r="117" spans="25:26" ht="26.25">
      <c r="Y117" s="6"/>
      <c r="Z117" s="6"/>
    </row>
    <row r="118" spans="25:26" ht="26.25">
      <c r="Y118" s="6"/>
      <c r="Z118" s="6"/>
    </row>
    <row r="119" spans="25:26" ht="26.25">
      <c r="Y119" s="6"/>
      <c r="Z119" s="6"/>
    </row>
    <row r="120" spans="25:26" ht="26.25">
      <c r="Y120" s="6"/>
      <c r="Z120" s="6"/>
    </row>
    <row r="121" spans="25:26" ht="26.25">
      <c r="Y121" s="6"/>
      <c r="Z121" s="6"/>
    </row>
    <row r="122" spans="25:26" ht="26.25">
      <c r="Y122" s="6"/>
      <c r="Z122" s="6"/>
    </row>
    <row r="123" spans="25:26" ht="26.25">
      <c r="Y123" s="6"/>
      <c r="Z123" s="6"/>
    </row>
    <row r="124" spans="25:26" ht="26.25">
      <c r="Y124" s="6"/>
      <c r="Z124" s="6"/>
    </row>
    <row r="125" spans="25:26" ht="26.25">
      <c r="Y125" s="6"/>
      <c r="Z125" s="6"/>
    </row>
    <row r="126" spans="25:26" ht="26.25">
      <c r="Y126" s="6"/>
      <c r="Z126" s="6"/>
    </row>
    <row r="127" spans="25:26" ht="26.25">
      <c r="Y127" s="6"/>
      <c r="Z127" s="6"/>
    </row>
    <row r="128" spans="25:26" ht="26.25">
      <c r="Y128" s="6"/>
      <c r="Z128" s="6"/>
    </row>
    <row r="129" spans="25:26" ht="26.25">
      <c r="Y129" s="6"/>
      <c r="Z129" s="6"/>
    </row>
    <row r="130" spans="25:26" ht="26.25">
      <c r="Y130" s="6"/>
      <c r="Z130" s="6"/>
    </row>
    <row r="131" spans="25:26" ht="26.25">
      <c r="Y131" s="6"/>
      <c r="Z131" s="6"/>
    </row>
    <row r="132" spans="25:26" ht="26.25">
      <c r="Y132" s="6"/>
      <c r="Z132" s="6"/>
    </row>
    <row r="133" spans="25:26" ht="26.25">
      <c r="Y133" s="6"/>
      <c r="Z133" s="6"/>
    </row>
    <row r="134" spans="25:26" ht="26.25">
      <c r="Y134" s="6"/>
      <c r="Z134" s="6"/>
    </row>
    <row r="135" spans="25:26" ht="26.25">
      <c r="Y135" s="6"/>
      <c r="Z135" s="6"/>
    </row>
    <row r="136" spans="25:26" ht="26.25">
      <c r="Y136" s="6"/>
      <c r="Z136" s="6"/>
    </row>
    <row r="137" spans="25:26" ht="26.25">
      <c r="Y137" s="6"/>
      <c r="Z137" s="6"/>
    </row>
    <row r="138" spans="25:26" ht="26.25">
      <c r="Y138" s="6"/>
      <c r="Z138" s="6"/>
    </row>
    <row r="139" spans="25:26" ht="26.25">
      <c r="Y139" s="6"/>
      <c r="Z139" s="6"/>
    </row>
    <row r="140" spans="25:26" ht="26.25">
      <c r="Y140" s="6"/>
      <c r="Z140" s="6"/>
    </row>
    <row r="141" spans="25:26" ht="26.25">
      <c r="Y141" s="6"/>
      <c r="Z141" s="6"/>
    </row>
    <row r="142" spans="25:26" ht="26.25">
      <c r="Y142" s="6"/>
      <c r="Z142" s="6"/>
    </row>
    <row r="143" spans="25:26" ht="26.25">
      <c r="Y143" s="6"/>
      <c r="Z143" s="6"/>
    </row>
    <row r="144" spans="25:26" ht="26.25">
      <c r="Y144" s="6"/>
      <c r="Z144" s="6"/>
    </row>
    <row r="145" spans="25:26" ht="26.25">
      <c r="Y145" s="6"/>
      <c r="Z145" s="6"/>
    </row>
    <row r="146" spans="25:26" ht="26.25">
      <c r="Y146" s="6"/>
      <c r="Z146" s="6"/>
    </row>
    <row r="147" spans="25:26" ht="26.25">
      <c r="Y147" s="6"/>
      <c r="Z147" s="6"/>
    </row>
    <row r="148" spans="25:26" ht="26.25">
      <c r="Y148" s="6"/>
      <c r="Z148" s="6"/>
    </row>
    <row r="149" spans="25:26" ht="26.25">
      <c r="Y149" s="6"/>
      <c r="Z149" s="6"/>
    </row>
    <row r="150" spans="25:26" ht="26.25">
      <c r="Y150" s="6"/>
      <c r="Z150" s="6"/>
    </row>
    <row r="151" spans="25:26" ht="26.25">
      <c r="Y151" s="6"/>
      <c r="Z151" s="6"/>
    </row>
    <row r="152" spans="25:26" ht="26.25">
      <c r="Y152" s="6"/>
      <c r="Z152" s="6"/>
    </row>
    <row r="153" spans="25:26" ht="26.25">
      <c r="Y153" s="6"/>
      <c r="Z153" s="6"/>
    </row>
    <row r="154" spans="25:26" ht="26.25">
      <c r="Y154" s="6"/>
      <c r="Z154" s="6"/>
    </row>
    <row r="155" spans="25:26" ht="26.25">
      <c r="Y155" s="6"/>
      <c r="Z155" s="6"/>
    </row>
    <row r="156" spans="25:26" ht="26.25">
      <c r="Y156" s="6"/>
      <c r="Z156" s="6"/>
    </row>
    <row r="157" spans="25:26" ht="26.25">
      <c r="Y157" s="6"/>
      <c r="Z157" s="6"/>
    </row>
    <row r="158" spans="25:26" ht="26.25">
      <c r="Y158" s="6"/>
      <c r="Z158" s="6"/>
    </row>
    <row r="159" spans="25:26" ht="26.25">
      <c r="Y159" s="6"/>
      <c r="Z159" s="6"/>
    </row>
    <row r="160" spans="25:26" ht="26.25">
      <c r="Y160" s="6"/>
      <c r="Z160" s="6"/>
    </row>
    <row r="161" spans="25:26" ht="26.25">
      <c r="Y161" s="6"/>
      <c r="Z161" s="6"/>
    </row>
    <row r="162" spans="25:26" ht="26.25">
      <c r="Y162" s="6"/>
      <c r="Z162" s="6"/>
    </row>
    <row r="163" spans="25:26" ht="26.25">
      <c r="Y163" s="6"/>
      <c r="Z163" s="6"/>
    </row>
    <row r="164" spans="25:26" ht="26.25">
      <c r="Y164" s="6"/>
      <c r="Z164" s="6"/>
    </row>
    <row r="165" spans="25:26" ht="26.25">
      <c r="Y165" s="6"/>
      <c r="Z165" s="6"/>
    </row>
    <row r="166" spans="25:26" ht="26.25">
      <c r="Y166" s="6"/>
      <c r="Z166" s="6"/>
    </row>
    <row r="167" spans="25:26" ht="26.25">
      <c r="Y167" s="6"/>
      <c r="Z167" s="6"/>
    </row>
    <row r="168" spans="25:26" ht="26.25">
      <c r="Y168" s="6"/>
      <c r="Z168" s="6"/>
    </row>
    <row r="169" spans="25:26" ht="26.25">
      <c r="Y169" s="6"/>
      <c r="Z169" s="6"/>
    </row>
    <row r="170" spans="25:26" ht="26.25">
      <c r="Y170" s="6"/>
      <c r="Z170" s="6"/>
    </row>
    <row r="171" spans="25:26" ht="26.25">
      <c r="Y171" s="6"/>
      <c r="Z171" s="6"/>
    </row>
    <row r="172" spans="25:26" ht="26.25">
      <c r="Y172" s="6"/>
      <c r="Z172" s="6"/>
    </row>
    <row r="173" spans="25:26" ht="26.25">
      <c r="Y173" s="6"/>
      <c r="Z173" s="6"/>
    </row>
    <row r="174" spans="25:26" ht="26.25">
      <c r="Y174" s="6"/>
      <c r="Z174" s="6"/>
    </row>
    <row r="175" spans="25:26" ht="26.25">
      <c r="Y175" s="6"/>
      <c r="Z175" s="6"/>
    </row>
    <row r="176" spans="25:26" ht="26.25">
      <c r="Y176" s="6"/>
      <c r="Z176" s="6"/>
    </row>
    <row r="177" spans="25:26" ht="26.25">
      <c r="Y177" s="6"/>
      <c r="Z177" s="6"/>
    </row>
    <row r="178" spans="25:26" ht="26.25">
      <c r="Y178" s="6"/>
      <c r="Z178" s="6"/>
    </row>
    <row r="179" spans="25:26" ht="26.25">
      <c r="Y179" s="6"/>
      <c r="Z179" s="6"/>
    </row>
    <row r="180" spans="25:26" ht="26.25">
      <c r="Y180" s="6"/>
      <c r="Z180" s="6"/>
    </row>
    <row r="181" spans="25:26" ht="26.25">
      <c r="Y181" s="6"/>
      <c r="Z181" s="6"/>
    </row>
    <row r="182" spans="25:26" ht="26.25">
      <c r="Y182" s="6"/>
      <c r="Z182" s="6"/>
    </row>
    <row r="183" spans="25:26" ht="26.25">
      <c r="Y183" s="6"/>
      <c r="Z183" s="6"/>
    </row>
    <row r="184" spans="25:26" ht="26.25">
      <c r="Y184" s="6"/>
      <c r="Z184" s="6"/>
    </row>
    <row r="185" spans="25:26" ht="26.25">
      <c r="Y185" s="6"/>
      <c r="Z185" s="6"/>
    </row>
    <row r="186" spans="25:26" ht="26.25">
      <c r="Y186" s="6"/>
      <c r="Z186" s="6"/>
    </row>
    <row r="187" spans="25:26" ht="26.25">
      <c r="Y187" s="6"/>
      <c r="Z187" s="6"/>
    </row>
    <row r="188" spans="25:26" ht="26.25">
      <c r="Y188" s="6"/>
      <c r="Z188" s="6"/>
    </row>
    <row r="189" spans="25:26" ht="26.25">
      <c r="Y189" s="6"/>
      <c r="Z189" s="6"/>
    </row>
    <row r="190" spans="25:26" ht="26.25">
      <c r="Y190" s="6"/>
      <c r="Z190" s="6"/>
    </row>
    <row r="191" spans="25:26" ht="26.25">
      <c r="Y191" s="6"/>
      <c r="Z191" s="6"/>
    </row>
    <row r="192" spans="25:26" ht="26.25">
      <c r="Y192" s="6"/>
      <c r="Z192" s="6"/>
    </row>
    <row r="193" spans="25:26" ht="26.25">
      <c r="Y193" s="6"/>
      <c r="Z193" s="6"/>
    </row>
    <row r="194" spans="25:26" ht="26.25">
      <c r="Y194" s="6"/>
      <c r="Z194" s="6"/>
    </row>
    <row r="195" spans="25:26" ht="26.25">
      <c r="Y195" s="6"/>
      <c r="Z195" s="6"/>
    </row>
    <row r="196" spans="25:26" ht="26.25">
      <c r="Y196" s="6"/>
      <c r="Z196" s="6"/>
    </row>
    <row r="197" spans="25:26" ht="26.25">
      <c r="Y197" s="6"/>
      <c r="Z197" s="6"/>
    </row>
    <row r="198" spans="25:26" ht="26.25">
      <c r="Y198" s="6"/>
      <c r="Z198" s="6"/>
    </row>
    <row r="199" spans="25:26" ht="26.25">
      <c r="Y199" s="6"/>
      <c r="Z199" s="6"/>
    </row>
    <row r="200" spans="25:26" ht="26.25">
      <c r="Y200" s="6"/>
      <c r="Z200" s="6"/>
    </row>
    <row r="201" spans="25:26" ht="26.25">
      <c r="Y201" s="6"/>
      <c r="Z201" s="6"/>
    </row>
    <row r="202" spans="25:26" ht="26.25">
      <c r="Y202" s="6"/>
      <c r="Z202" s="6"/>
    </row>
    <row r="203" spans="25:26" ht="26.25">
      <c r="Y203" s="6"/>
      <c r="Z203" s="6"/>
    </row>
    <row r="204" spans="25:26" ht="26.25">
      <c r="Y204" s="6"/>
      <c r="Z204" s="6"/>
    </row>
    <row r="205" spans="25:26" ht="26.25">
      <c r="Y205" s="6"/>
      <c r="Z205" s="6"/>
    </row>
    <row r="206" spans="25:26" ht="26.25">
      <c r="Y206" s="6"/>
      <c r="Z206" s="6"/>
    </row>
    <row r="207" spans="25:26" ht="26.25">
      <c r="Y207" s="6"/>
      <c r="Z207" s="6"/>
    </row>
    <row r="208" spans="25:26" ht="26.25">
      <c r="Y208" s="6"/>
      <c r="Z208" s="6"/>
    </row>
    <row r="209" spans="25:26" ht="26.25">
      <c r="Y209" s="6"/>
      <c r="Z209" s="6"/>
    </row>
    <row r="210" spans="25:26" ht="26.25">
      <c r="Y210" s="6"/>
      <c r="Z210" s="6"/>
    </row>
    <row r="211" spans="25:26" ht="26.25">
      <c r="Y211" s="6"/>
      <c r="Z211" s="6"/>
    </row>
    <row r="212" spans="25:26" ht="26.25">
      <c r="Y212" s="6"/>
      <c r="Z212" s="6"/>
    </row>
    <row r="213" spans="25:26" ht="26.25">
      <c r="Y213" s="6"/>
      <c r="Z213" s="6"/>
    </row>
    <row r="214" spans="25:26" ht="26.25">
      <c r="Y214" s="6"/>
      <c r="Z214" s="6"/>
    </row>
    <row r="215" spans="25:26" ht="26.25">
      <c r="Y215" s="6"/>
      <c r="Z215" s="6"/>
    </row>
    <row r="216" spans="25:26" ht="26.25">
      <c r="Y216" s="6"/>
      <c r="Z216" s="6"/>
    </row>
    <row r="217" spans="25:26" ht="26.25">
      <c r="Y217" s="6"/>
      <c r="Z217" s="6"/>
    </row>
    <row r="218" spans="25:26" ht="26.25">
      <c r="Y218" s="6"/>
      <c r="Z218" s="6"/>
    </row>
    <row r="219" spans="25:26" ht="26.25">
      <c r="Y219" s="6"/>
      <c r="Z219" s="6"/>
    </row>
    <row r="220" spans="25:26" ht="26.25">
      <c r="Y220" s="6"/>
      <c r="Z220" s="6"/>
    </row>
    <row r="221" spans="25:26" ht="26.25">
      <c r="Y221" s="6"/>
      <c r="Z221" s="6"/>
    </row>
    <row r="222" spans="25:26" ht="26.25">
      <c r="Y222" s="6"/>
      <c r="Z222" s="6"/>
    </row>
    <row r="223" spans="25:26" ht="26.25">
      <c r="Y223" s="6"/>
      <c r="Z223" s="6"/>
    </row>
    <row r="224" spans="25:26" ht="26.25">
      <c r="Y224" s="6"/>
      <c r="Z224" s="6"/>
    </row>
    <row r="225" spans="25:26" ht="26.25">
      <c r="Y225" s="6"/>
      <c r="Z225" s="6"/>
    </row>
    <row r="226" spans="25:26" ht="26.25">
      <c r="Y226" s="6"/>
      <c r="Z226" s="6"/>
    </row>
    <row r="227" spans="25:26" ht="26.25">
      <c r="Y227" s="6"/>
      <c r="Z227" s="6"/>
    </row>
    <row r="228" spans="25:26" ht="26.25">
      <c r="Y228" s="6"/>
      <c r="Z228" s="6"/>
    </row>
    <row r="229" spans="25:26" ht="26.25">
      <c r="Y229" s="6"/>
      <c r="Z229" s="6"/>
    </row>
    <row r="230" spans="25:26" ht="26.25">
      <c r="Y230" s="6"/>
      <c r="Z230" s="6"/>
    </row>
    <row r="231" spans="25:26" ht="26.25">
      <c r="Y231" s="6"/>
      <c r="Z231" s="6"/>
    </row>
    <row r="232" spans="25:26" ht="26.25">
      <c r="Y232" s="6"/>
      <c r="Z232" s="6"/>
    </row>
    <row r="233" spans="25:26" ht="26.25">
      <c r="Y233" s="6"/>
      <c r="Z233" s="6"/>
    </row>
    <row r="234" spans="25:26" ht="26.25">
      <c r="Y234" s="6"/>
      <c r="Z234" s="6"/>
    </row>
    <row r="235" spans="25:26" ht="26.25">
      <c r="Y235" s="6"/>
      <c r="Z235" s="6"/>
    </row>
    <row r="236" spans="25:26" ht="26.25">
      <c r="Y236" s="6"/>
      <c r="Z236" s="6"/>
    </row>
    <row r="237" spans="25:26" ht="26.25">
      <c r="Y237" s="6"/>
      <c r="Z237" s="6"/>
    </row>
    <row r="238" spans="25:26" ht="26.25">
      <c r="Y238" s="6"/>
      <c r="Z238" s="6"/>
    </row>
    <row r="239" spans="25:26" ht="26.25">
      <c r="Y239" s="6"/>
      <c r="Z239" s="6"/>
    </row>
    <row r="240" spans="25:26" ht="26.25">
      <c r="Y240" s="6"/>
      <c r="Z240" s="6"/>
    </row>
    <row r="241" spans="25:26" ht="26.25">
      <c r="Y241" s="6"/>
      <c r="Z241" s="6"/>
    </row>
    <row r="242" spans="25:26" ht="26.25">
      <c r="Y242" s="6"/>
      <c r="Z242" s="6"/>
    </row>
    <row r="243" spans="25:26" ht="26.25">
      <c r="Y243" s="6"/>
      <c r="Z243" s="6"/>
    </row>
    <row r="244" spans="25:26" ht="26.25">
      <c r="Y244" s="6"/>
      <c r="Z244" s="6"/>
    </row>
    <row r="245" spans="25:26" ht="26.25">
      <c r="Y245" s="6"/>
      <c r="Z245" s="6"/>
    </row>
    <row r="246" spans="25:26" ht="26.25">
      <c r="Y246" s="6"/>
      <c r="Z246" s="6"/>
    </row>
    <row r="247" spans="25:26" ht="26.25">
      <c r="Y247" s="6"/>
      <c r="Z247" s="6"/>
    </row>
    <row r="248" spans="25:26" ht="26.25">
      <c r="Y248" s="6"/>
      <c r="Z248" s="6"/>
    </row>
    <row r="249" spans="25:26" ht="26.25">
      <c r="Y249" s="6"/>
      <c r="Z249" s="6"/>
    </row>
    <row r="250" spans="25:26" ht="26.25">
      <c r="Y250" s="6"/>
      <c r="Z250" s="6"/>
    </row>
    <row r="251" spans="25:26" ht="26.25">
      <c r="Y251" s="6"/>
      <c r="Z251" s="6"/>
    </row>
    <row r="252" spans="25:26" ht="26.25">
      <c r="Y252" s="6"/>
      <c r="Z252" s="6"/>
    </row>
    <row r="253" spans="25:26" ht="26.25">
      <c r="Y253" s="6"/>
      <c r="Z253" s="6"/>
    </row>
    <row r="254" spans="25:26" ht="26.25">
      <c r="Y254" s="6"/>
      <c r="Z254" s="6"/>
    </row>
    <row r="255" spans="25:26" ht="26.25">
      <c r="Y255" s="6"/>
      <c r="Z255" s="6"/>
    </row>
    <row r="256" spans="25:26" ht="26.25">
      <c r="Y256" s="6"/>
      <c r="Z256" s="6"/>
    </row>
    <row r="257" spans="25:26" ht="26.25">
      <c r="Y257" s="6"/>
      <c r="Z257" s="6"/>
    </row>
    <row r="258" spans="25:26" ht="26.25">
      <c r="Y258" s="6"/>
      <c r="Z258" s="6"/>
    </row>
    <row r="259" spans="25:26" ht="26.25">
      <c r="Y259" s="6"/>
      <c r="Z259" s="6"/>
    </row>
    <row r="260" spans="25:26" ht="26.25">
      <c r="Y260" s="6"/>
      <c r="Z260" s="6"/>
    </row>
    <row r="261" spans="25:26" ht="26.25">
      <c r="Y261" s="6"/>
      <c r="Z261" s="6"/>
    </row>
    <row r="262" spans="25:26" ht="26.25">
      <c r="Y262" s="6"/>
      <c r="Z262" s="6"/>
    </row>
    <row r="263" spans="25:26" ht="26.25">
      <c r="Y263" s="6"/>
      <c r="Z263" s="6"/>
    </row>
    <row r="264" spans="25:26" ht="26.25">
      <c r="Y264" s="6"/>
      <c r="Z264" s="6"/>
    </row>
    <row r="265" spans="25:26" ht="26.25">
      <c r="Y265" s="6"/>
      <c r="Z265" s="6"/>
    </row>
    <row r="266" spans="25:26" ht="26.25">
      <c r="Y266" s="6"/>
      <c r="Z266" s="6"/>
    </row>
    <row r="267" spans="25:26" ht="26.25">
      <c r="Y267" s="6"/>
      <c r="Z267" s="6"/>
    </row>
    <row r="268" spans="25:26" ht="26.25">
      <c r="Y268" s="6"/>
      <c r="Z268" s="6"/>
    </row>
    <row r="269" spans="25:26" ht="26.25">
      <c r="Y269" s="6"/>
      <c r="Z269" s="6"/>
    </row>
    <row r="270" spans="25:26" ht="26.25">
      <c r="Y270" s="6"/>
      <c r="Z270" s="6"/>
    </row>
    <row r="271" spans="25:26" ht="26.25">
      <c r="Y271" s="6"/>
      <c r="Z271" s="6"/>
    </row>
    <row r="272" spans="25:26" ht="26.25">
      <c r="Y272" s="6"/>
      <c r="Z272" s="6"/>
    </row>
    <row r="273" spans="25:26" ht="26.25">
      <c r="Y273" s="6"/>
      <c r="Z273" s="6"/>
    </row>
    <row r="274" spans="25:26" ht="26.25">
      <c r="Y274" s="6"/>
      <c r="Z274" s="6"/>
    </row>
    <row r="275" spans="25:26" ht="26.25">
      <c r="Y275" s="6"/>
      <c r="Z275" s="6"/>
    </row>
    <row r="276" spans="25:26" ht="26.25">
      <c r="Y276" s="6"/>
      <c r="Z276" s="6"/>
    </row>
    <row r="277" spans="25:26" ht="26.25">
      <c r="Y277" s="6"/>
      <c r="Z277" s="6"/>
    </row>
    <row r="278" spans="25:26" ht="26.25">
      <c r="Y278" s="6"/>
      <c r="Z278" s="6"/>
    </row>
    <row r="279" spans="25:26" ht="26.25">
      <c r="Y279" s="6"/>
      <c r="Z279" s="6"/>
    </row>
    <row r="280" spans="25:26" ht="26.25">
      <c r="Y280" s="6"/>
      <c r="Z280" s="6"/>
    </row>
    <row r="281" spans="25:26" ht="26.25">
      <c r="Y281" s="6"/>
      <c r="Z281" s="6"/>
    </row>
    <row r="282" spans="25:26" ht="26.25">
      <c r="Y282" s="6"/>
      <c r="Z282" s="6"/>
    </row>
    <row r="283" spans="25:26" ht="26.25">
      <c r="Y283" s="6"/>
      <c r="Z283" s="6"/>
    </row>
    <row r="284" spans="25:26" ht="26.25">
      <c r="Y284" s="6"/>
      <c r="Z284" s="6"/>
    </row>
    <row r="285" spans="25:26" ht="26.25">
      <c r="Y285" s="6"/>
      <c r="Z285" s="6"/>
    </row>
    <row r="286" spans="25:26" ht="26.25">
      <c r="Y286" s="6"/>
      <c r="Z286" s="6"/>
    </row>
    <row r="287" spans="25:26" ht="26.25">
      <c r="Y287" s="6"/>
      <c r="Z287" s="6"/>
    </row>
    <row r="288" spans="25:26" ht="26.25">
      <c r="Y288" s="6"/>
      <c r="Z288" s="6"/>
    </row>
    <row r="289" spans="25:26" ht="26.25">
      <c r="Y289" s="6"/>
      <c r="Z289" s="6"/>
    </row>
    <row r="290" spans="25:26" ht="26.25">
      <c r="Y290" s="6"/>
      <c r="Z290" s="6"/>
    </row>
    <row r="291" spans="25:26" ht="26.25">
      <c r="Y291" s="6"/>
      <c r="Z291" s="6"/>
    </row>
    <row r="292" spans="25:26" ht="26.25">
      <c r="Y292" s="6"/>
      <c r="Z292" s="6"/>
    </row>
    <row r="293" spans="25:26" ht="26.25">
      <c r="Y293" s="6"/>
      <c r="Z293" s="6"/>
    </row>
    <row r="294" spans="25:26" ht="26.25">
      <c r="Y294" s="6"/>
      <c r="Z294" s="6"/>
    </row>
    <row r="295" spans="25:26" ht="26.25">
      <c r="Y295" s="6"/>
      <c r="Z295" s="6"/>
    </row>
    <row r="296" spans="25:26" ht="26.25">
      <c r="Y296" s="6"/>
      <c r="Z296" s="6"/>
    </row>
    <row r="297" spans="25:26" ht="26.25">
      <c r="Y297" s="6"/>
      <c r="Z297" s="6"/>
    </row>
    <row r="298" spans="25:26" ht="26.25">
      <c r="Y298" s="6"/>
      <c r="Z298" s="6"/>
    </row>
    <row r="299" spans="25:26" ht="26.25">
      <c r="Y299" s="6"/>
      <c r="Z299" s="6"/>
    </row>
    <row r="300" spans="25:26" ht="26.25">
      <c r="Y300" s="6"/>
      <c r="Z300" s="6"/>
    </row>
    <row r="301" spans="25:26" ht="26.25">
      <c r="Y301" s="6"/>
      <c r="Z301" s="6"/>
    </row>
    <row r="302" spans="25:26" ht="26.25">
      <c r="Y302" s="6"/>
      <c r="Z302" s="6"/>
    </row>
    <row r="303" spans="25:26" ht="26.25">
      <c r="Y303" s="6"/>
      <c r="Z303" s="6"/>
    </row>
    <row r="304" spans="25:26" ht="26.25">
      <c r="Y304" s="6"/>
      <c r="Z304" s="6"/>
    </row>
    <row r="305" spans="25:26" ht="26.25">
      <c r="Y305" s="6"/>
      <c r="Z305" s="6"/>
    </row>
    <row r="306" spans="25:26" ht="26.25">
      <c r="Y306" s="6"/>
      <c r="Z306" s="6"/>
    </row>
    <row r="307" spans="25:26" ht="26.25">
      <c r="Y307" s="6"/>
      <c r="Z307" s="6"/>
    </row>
    <row r="308" spans="25:26" ht="26.25">
      <c r="Y308" s="6"/>
      <c r="Z308" s="6"/>
    </row>
    <row r="309" spans="25:26" ht="26.25">
      <c r="Y309" s="6"/>
      <c r="Z309" s="6"/>
    </row>
    <row r="310" spans="25:26" ht="26.25">
      <c r="Y310" s="6"/>
      <c r="Z310" s="6"/>
    </row>
    <row r="311" spans="25:26" ht="26.25">
      <c r="Y311" s="6"/>
      <c r="Z311" s="6"/>
    </row>
    <row r="312" spans="25:26" ht="26.25">
      <c r="Y312" s="6"/>
      <c r="Z312" s="6"/>
    </row>
    <row r="313" spans="25:26" ht="26.25">
      <c r="Y313" s="6"/>
      <c r="Z313" s="6"/>
    </row>
    <row r="314" spans="25:26" ht="26.25">
      <c r="Y314" s="6"/>
      <c r="Z314" s="6"/>
    </row>
    <row r="315" spans="25:26" ht="26.25">
      <c r="Y315" s="6"/>
      <c r="Z315" s="6"/>
    </row>
    <row r="316" spans="25:26" ht="26.25">
      <c r="Y316" s="6"/>
      <c r="Z316" s="6"/>
    </row>
    <row r="317" spans="25:26" ht="26.25">
      <c r="Y317" s="6"/>
      <c r="Z317" s="6"/>
    </row>
    <row r="318" spans="25:26" ht="26.25">
      <c r="Y318" s="6"/>
      <c r="Z318" s="6"/>
    </row>
    <row r="319" spans="25:26" ht="26.25">
      <c r="Y319" s="6"/>
      <c r="Z319" s="6"/>
    </row>
    <row r="320" spans="25:26" ht="26.25">
      <c r="Y320" s="6"/>
      <c r="Z320" s="6"/>
    </row>
    <row r="321" spans="25:26" ht="26.25">
      <c r="Y321" s="6"/>
      <c r="Z321" s="6"/>
    </row>
    <row r="322" spans="25:26" ht="26.25">
      <c r="Y322" s="6"/>
      <c r="Z322" s="6"/>
    </row>
    <row r="323" spans="25:26" ht="26.25">
      <c r="Y323" s="6"/>
      <c r="Z323" s="6"/>
    </row>
    <row r="324" spans="25:26" ht="26.25">
      <c r="Y324" s="6"/>
      <c r="Z324" s="6"/>
    </row>
    <row r="325" spans="25:26" ht="26.25">
      <c r="Y325" s="6"/>
      <c r="Z325" s="6"/>
    </row>
    <row r="326" spans="25:26" ht="26.25">
      <c r="Y326" s="6"/>
      <c r="Z326" s="6"/>
    </row>
    <row r="327" spans="25:26" ht="26.25">
      <c r="Y327" s="6"/>
      <c r="Z327" s="6"/>
    </row>
    <row r="328" spans="25:26" ht="26.25">
      <c r="Y328" s="6"/>
      <c r="Z328" s="6"/>
    </row>
    <row r="329" spans="25:26" ht="26.25">
      <c r="Y329" s="6"/>
      <c r="Z329" s="6"/>
    </row>
    <row r="330" spans="25:26" ht="26.25">
      <c r="Y330" s="6"/>
      <c r="Z330" s="6"/>
    </row>
    <row r="331" spans="25:26" ht="26.25">
      <c r="Y331" s="6"/>
      <c r="Z331" s="6"/>
    </row>
    <row r="332" spans="25:26" ht="26.25">
      <c r="Y332" s="6"/>
      <c r="Z332" s="6"/>
    </row>
    <row r="333" spans="25:26" ht="26.25">
      <c r="Y333" s="6"/>
      <c r="Z333" s="6"/>
    </row>
    <row r="334" spans="25:26" ht="26.25">
      <c r="Y334" s="6"/>
      <c r="Z334" s="6"/>
    </row>
    <row r="335" spans="25:26" ht="26.25">
      <c r="Y335" s="6"/>
      <c r="Z335" s="6"/>
    </row>
    <row r="336" spans="25:26" ht="26.25">
      <c r="Y336" s="6"/>
      <c r="Z336" s="6"/>
    </row>
    <row r="337" spans="25:26" ht="26.25">
      <c r="Y337" s="6"/>
      <c r="Z337" s="6"/>
    </row>
    <row r="338" spans="25:26" ht="26.25">
      <c r="Y338" s="6"/>
      <c r="Z338" s="6"/>
    </row>
    <row r="339" spans="25:26" ht="26.25">
      <c r="Y339" s="6"/>
      <c r="Z339" s="6"/>
    </row>
    <row r="340" spans="25:26" ht="26.25">
      <c r="Y340" s="6"/>
      <c r="Z340" s="6"/>
    </row>
    <row r="341" spans="25:26" ht="26.25">
      <c r="Y341" s="6"/>
      <c r="Z341" s="6"/>
    </row>
    <row r="342" spans="25:26" ht="26.25">
      <c r="Y342" s="6"/>
      <c r="Z342" s="6"/>
    </row>
    <row r="343" spans="25:26" ht="26.25">
      <c r="Y343" s="6"/>
      <c r="Z343" s="6"/>
    </row>
    <row r="344" spans="25:26" ht="26.25">
      <c r="Y344" s="6"/>
      <c r="Z344" s="6"/>
    </row>
    <row r="345" spans="25:26" ht="26.25">
      <c r="Y345" s="6"/>
      <c r="Z345" s="6"/>
    </row>
    <row r="346" spans="25:26" ht="26.25">
      <c r="Y346" s="6"/>
      <c r="Z346" s="6"/>
    </row>
    <row r="347" spans="25:26" ht="26.25">
      <c r="Y347" s="6"/>
      <c r="Z347" s="6"/>
    </row>
    <row r="348" spans="25:26" ht="26.25">
      <c r="Y348" s="6"/>
      <c r="Z348" s="6"/>
    </row>
    <row r="349" spans="25:26" ht="26.25">
      <c r="Y349" s="6"/>
      <c r="Z349" s="6"/>
    </row>
    <row r="350" spans="25:26" ht="26.25">
      <c r="Y350" s="6"/>
      <c r="Z350" s="6"/>
    </row>
    <row r="351" spans="25:26" ht="26.25">
      <c r="Y351" s="6"/>
      <c r="Z351" s="6"/>
    </row>
    <row r="352" spans="25:26" ht="26.25">
      <c r="Y352" s="6"/>
      <c r="Z352" s="6"/>
    </row>
    <row r="353" spans="25:26" ht="26.25">
      <c r="Y353" s="6"/>
      <c r="Z353" s="6"/>
    </row>
    <row r="354" spans="25:26" ht="26.25">
      <c r="Y354" s="6"/>
      <c r="Z354" s="6"/>
    </row>
    <row r="355" spans="25:26" ht="26.25">
      <c r="Y355" s="6"/>
      <c r="Z355" s="6"/>
    </row>
    <row r="356" spans="25:26" ht="26.25">
      <c r="Y356" s="6"/>
      <c r="Z356" s="6"/>
    </row>
    <row r="357" spans="25:26" ht="26.25">
      <c r="Y357" s="6"/>
      <c r="Z357" s="6"/>
    </row>
    <row r="358" spans="25:26" ht="26.25">
      <c r="Y358" s="6"/>
      <c r="Z358" s="6"/>
    </row>
    <row r="359" spans="25:26" ht="26.25">
      <c r="Y359" s="6"/>
      <c r="Z359" s="6"/>
    </row>
    <row r="360" spans="25:26" ht="26.25">
      <c r="Y360" s="6"/>
      <c r="Z360" s="6"/>
    </row>
    <row r="361" spans="25:26" ht="26.25">
      <c r="Y361" s="6"/>
      <c r="Z361" s="6"/>
    </row>
    <row r="362" spans="25:26" ht="26.25">
      <c r="Y362" s="6"/>
      <c r="Z362" s="6"/>
    </row>
    <row r="363" spans="25:26" ht="26.25">
      <c r="Y363" s="6"/>
      <c r="Z363" s="6"/>
    </row>
    <row r="364" spans="25:26" ht="26.25">
      <c r="Y364" s="6"/>
      <c r="Z364" s="6"/>
    </row>
    <row r="365" spans="25:26" ht="26.25">
      <c r="Y365" s="6"/>
      <c r="Z365" s="6"/>
    </row>
    <row r="366" spans="25:26" ht="26.25">
      <c r="Y366" s="6"/>
      <c r="Z366" s="6"/>
    </row>
    <row r="367" spans="25:26" ht="26.25">
      <c r="Y367" s="6"/>
      <c r="Z367" s="6"/>
    </row>
    <row r="368" spans="25:26" ht="26.25">
      <c r="Y368" s="6"/>
      <c r="Z368" s="6"/>
    </row>
    <row r="369" spans="25:26" ht="26.25">
      <c r="Y369" s="6"/>
      <c r="Z369" s="6"/>
    </row>
    <row r="370" spans="25:26" ht="26.25">
      <c r="Y370" s="6"/>
      <c r="Z370" s="6"/>
    </row>
    <row r="371" spans="25:26" ht="26.25">
      <c r="Y371" s="6"/>
      <c r="Z371" s="6"/>
    </row>
    <row r="372" spans="25:26" ht="26.25">
      <c r="Y372" s="6"/>
      <c r="Z372" s="6"/>
    </row>
    <row r="373" spans="25:26" ht="26.25">
      <c r="Y373" s="6"/>
      <c r="Z373" s="6"/>
    </row>
    <row r="374" spans="25:26" ht="26.25">
      <c r="Y374" s="6"/>
      <c r="Z374" s="6"/>
    </row>
    <row r="375" spans="25:26" ht="26.25">
      <c r="Y375" s="6"/>
      <c r="Z375" s="6"/>
    </row>
    <row r="376" spans="25:26" ht="26.25">
      <c r="Y376" s="6"/>
      <c r="Z376" s="6"/>
    </row>
    <row r="377" spans="25:26" ht="26.25">
      <c r="Y377" s="6"/>
      <c r="Z377" s="6"/>
    </row>
    <row r="378" spans="25:26" ht="26.25">
      <c r="Y378" s="6"/>
      <c r="Z378" s="6"/>
    </row>
    <row r="379" spans="25:26" ht="26.25">
      <c r="Y379" s="6"/>
      <c r="Z379" s="6"/>
    </row>
    <row r="380" spans="25:26" ht="26.25">
      <c r="Y380" s="6"/>
      <c r="Z380" s="6"/>
    </row>
    <row r="381" spans="25:26" ht="26.25">
      <c r="Y381" s="6"/>
      <c r="Z381" s="6"/>
    </row>
    <row r="382" spans="25:26" ht="26.25">
      <c r="Y382" s="6"/>
      <c r="Z382" s="6"/>
    </row>
    <row r="383" spans="25:26" ht="26.25">
      <c r="Y383" s="6"/>
      <c r="Z383" s="6"/>
    </row>
    <row r="384" spans="25:26" ht="26.25">
      <c r="Y384" s="6"/>
      <c r="Z384" s="6"/>
    </row>
    <row r="385" spans="25:26" ht="26.25">
      <c r="Y385" s="6"/>
      <c r="Z385" s="6"/>
    </row>
    <row r="386" spans="25:26" ht="26.25">
      <c r="Y386" s="6"/>
      <c r="Z386" s="6"/>
    </row>
    <row r="387" spans="25:26" ht="26.25">
      <c r="Y387" s="6"/>
      <c r="Z387" s="6"/>
    </row>
    <row r="388" spans="25:26" ht="26.25">
      <c r="Y388" s="6"/>
      <c r="Z388" s="6"/>
    </row>
    <row r="389" spans="25:26" ht="26.25">
      <c r="Y389" s="6"/>
      <c r="Z389" s="6"/>
    </row>
    <row r="390" spans="25:26" ht="26.25">
      <c r="Y390" s="6"/>
      <c r="Z390" s="6"/>
    </row>
    <row r="391" spans="25:26" ht="26.25">
      <c r="Y391" s="6"/>
      <c r="Z391" s="6"/>
    </row>
    <row r="392" spans="25:26" ht="26.25">
      <c r="Y392" s="6"/>
      <c r="Z392" s="6"/>
    </row>
    <row r="393" spans="25:26" ht="26.25">
      <c r="Y393" s="6"/>
      <c r="Z393" s="6"/>
    </row>
    <row r="394" spans="25:26" ht="26.25">
      <c r="Y394" s="6"/>
      <c r="Z394" s="6"/>
    </row>
    <row r="395" spans="25:26" ht="26.25">
      <c r="Y395" s="6"/>
      <c r="Z395" s="6"/>
    </row>
    <row r="396" spans="25:26" ht="26.25">
      <c r="Y396" s="6"/>
      <c r="Z396" s="6"/>
    </row>
    <row r="397" spans="25:26" ht="26.25">
      <c r="Y397" s="6"/>
      <c r="Z397" s="6"/>
    </row>
    <row r="398" spans="25:26" ht="26.25">
      <c r="Y398" s="6"/>
      <c r="Z398" s="6"/>
    </row>
    <row r="399" spans="25:26" ht="26.25">
      <c r="Y399" s="6"/>
      <c r="Z399" s="6"/>
    </row>
    <row r="400" spans="25:26" ht="26.25">
      <c r="Y400" s="6"/>
      <c r="Z400" s="6"/>
    </row>
    <row r="401" spans="25:26" ht="26.25">
      <c r="Y401" s="6"/>
      <c r="Z401" s="6"/>
    </row>
    <row r="402" spans="25:26" ht="26.25">
      <c r="Y402" s="6"/>
      <c r="Z402" s="6"/>
    </row>
    <row r="403" spans="25:26" ht="26.25">
      <c r="Y403" s="6"/>
      <c r="Z403" s="6"/>
    </row>
    <row r="404" spans="25:26" ht="26.25">
      <c r="Y404" s="6"/>
      <c r="Z404" s="6"/>
    </row>
    <row r="405" spans="25:26" ht="26.25">
      <c r="Y405" s="6"/>
      <c r="Z405" s="6"/>
    </row>
    <row r="406" spans="25:26" ht="26.25">
      <c r="Y406" s="6"/>
      <c r="Z406" s="6"/>
    </row>
    <row r="407" spans="25:26" ht="26.25">
      <c r="Y407" s="6"/>
      <c r="Z407" s="6"/>
    </row>
    <row r="408" spans="25:26" ht="26.25">
      <c r="Y408" s="6"/>
      <c r="Z408" s="6"/>
    </row>
    <row r="409" spans="25:26" ht="26.25">
      <c r="Y409" s="6"/>
      <c r="Z409" s="6"/>
    </row>
    <row r="410" spans="25:26" ht="26.25">
      <c r="Y410" s="6"/>
      <c r="Z410" s="6"/>
    </row>
    <row r="411" spans="25:26" ht="26.25">
      <c r="Y411" s="6"/>
      <c r="Z411" s="6"/>
    </row>
    <row r="412" spans="25:26" ht="26.25">
      <c r="Y412" s="6"/>
      <c r="Z412" s="6"/>
    </row>
    <row r="413" spans="25:26" ht="26.25">
      <c r="Y413" s="6"/>
      <c r="Z413" s="6"/>
    </row>
    <row r="414" spans="25:26" ht="26.25">
      <c r="Y414" s="6"/>
      <c r="Z414" s="6"/>
    </row>
    <row r="415" spans="25:26" ht="26.25">
      <c r="Y415" s="6"/>
      <c r="Z415" s="6"/>
    </row>
    <row r="416" spans="25:26" ht="26.25">
      <c r="Y416" s="6"/>
      <c r="Z416" s="6"/>
    </row>
    <row r="417" spans="25:26" ht="26.25">
      <c r="Y417" s="6"/>
      <c r="Z417" s="6"/>
    </row>
    <row r="418" spans="25:26" ht="26.25">
      <c r="Y418" s="6"/>
      <c r="Z418" s="6"/>
    </row>
    <row r="419" spans="25:26" ht="26.25">
      <c r="Y419" s="6"/>
      <c r="Z419" s="6"/>
    </row>
    <row r="420" spans="25:26" ht="26.25">
      <c r="Y420" s="6"/>
      <c r="Z420" s="6"/>
    </row>
    <row r="421" spans="25:26" ht="26.25">
      <c r="Y421" s="6"/>
      <c r="Z421" s="6"/>
    </row>
    <row r="422" spans="25:26" ht="26.25">
      <c r="Y422" s="6"/>
      <c r="Z422" s="6"/>
    </row>
    <row r="423" spans="25:26" ht="26.25">
      <c r="Y423" s="6"/>
      <c r="Z423" s="6"/>
    </row>
    <row r="424" spans="25:26" ht="26.25">
      <c r="Y424" s="6"/>
      <c r="Z424" s="6"/>
    </row>
    <row r="425" spans="25:26" ht="26.25">
      <c r="Y425" s="6"/>
      <c r="Z425" s="6"/>
    </row>
    <row r="426" spans="25:26" ht="26.25">
      <c r="Y426" s="6"/>
      <c r="Z426" s="6"/>
    </row>
    <row r="427" spans="25:26" ht="26.25">
      <c r="Y427" s="6"/>
      <c r="Z427" s="6"/>
    </row>
    <row r="428" spans="25:26" ht="26.25">
      <c r="Y428" s="6"/>
      <c r="Z428" s="6"/>
    </row>
    <row r="429" spans="25:26" ht="26.25">
      <c r="Y429" s="6"/>
      <c r="Z429" s="6"/>
    </row>
    <row r="430" spans="25:26" ht="26.25">
      <c r="Y430" s="6"/>
      <c r="Z430" s="6"/>
    </row>
    <row r="431" spans="25:26" ht="26.25">
      <c r="Y431" s="6"/>
      <c r="Z431" s="6"/>
    </row>
    <row r="432" spans="25:26" ht="26.25">
      <c r="Y432" s="6"/>
      <c r="Z432" s="6"/>
    </row>
    <row r="433" spans="25:26" ht="26.25">
      <c r="Y433" s="6"/>
      <c r="Z433" s="6"/>
    </row>
    <row r="434" spans="25:26" ht="26.25">
      <c r="Y434" s="6"/>
      <c r="Z434" s="6"/>
    </row>
    <row r="435" spans="25:26" ht="26.25">
      <c r="Y435" s="6"/>
      <c r="Z435" s="6"/>
    </row>
    <row r="436" spans="25:26" ht="26.25">
      <c r="Y436" s="6"/>
      <c r="Z436" s="6"/>
    </row>
    <row r="437" spans="25:26" ht="26.25">
      <c r="Y437" s="6"/>
      <c r="Z437" s="6"/>
    </row>
    <row r="438" spans="25:26" ht="26.25">
      <c r="Y438" s="6"/>
      <c r="Z438" s="6"/>
    </row>
    <row r="439" spans="25:26" ht="26.25">
      <c r="Y439" s="6"/>
      <c r="Z439" s="6"/>
    </row>
    <row r="440" spans="25:26" ht="26.25">
      <c r="Y440" s="6"/>
      <c r="Z440" s="6"/>
    </row>
    <row r="441" spans="25:26" ht="26.25">
      <c r="Y441" s="6"/>
      <c r="Z441" s="6"/>
    </row>
    <row r="442" spans="25:26" ht="26.25">
      <c r="Y442" s="6"/>
      <c r="Z442" s="6"/>
    </row>
    <row r="443" spans="25:26" ht="26.25">
      <c r="Y443" s="6"/>
      <c r="Z443" s="6"/>
    </row>
    <row r="444" spans="25:26" ht="26.25">
      <c r="Y444" s="6"/>
      <c r="Z444" s="6"/>
    </row>
    <row r="445" spans="25:26" ht="26.25">
      <c r="Y445" s="6"/>
      <c r="Z445" s="6"/>
    </row>
    <row r="446" spans="25:26" ht="26.25">
      <c r="Y446" s="6"/>
      <c r="Z446" s="6"/>
    </row>
    <row r="447" spans="25:26" ht="26.25">
      <c r="Y447" s="6"/>
      <c r="Z447" s="6"/>
    </row>
    <row r="448" spans="25:26" ht="26.25">
      <c r="Y448" s="6"/>
      <c r="Z448" s="6"/>
    </row>
    <row r="449" spans="25:26" ht="26.25">
      <c r="Y449" s="6"/>
      <c r="Z449" s="6"/>
    </row>
    <row r="450" spans="25:26" ht="26.25">
      <c r="Y450" s="6"/>
      <c r="Z450" s="6"/>
    </row>
    <row r="451" spans="25:26" ht="26.25">
      <c r="Y451" s="6"/>
      <c r="Z451" s="6"/>
    </row>
    <row r="452" spans="25:26" ht="26.25">
      <c r="Y452" s="6"/>
      <c r="Z452" s="6"/>
    </row>
    <row r="453" spans="25:26" ht="26.25">
      <c r="Y453" s="6"/>
      <c r="Z453" s="6"/>
    </row>
    <row r="454" spans="25:26" ht="26.25">
      <c r="Y454" s="6"/>
      <c r="Z454" s="6"/>
    </row>
    <row r="455" spans="25:26" ht="26.25">
      <c r="Y455" s="6"/>
      <c r="Z455" s="6"/>
    </row>
    <row r="456" spans="25:26" ht="26.25">
      <c r="Y456" s="6"/>
      <c r="Z456" s="6"/>
    </row>
    <row r="457" spans="25:26" ht="26.25">
      <c r="Y457" s="6"/>
      <c r="Z457" s="6"/>
    </row>
    <row r="458" spans="25:26" ht="26.25">
      <c r="Y458" s="6"/>
      <c r="Z458" s="6"/>
    </row>
    <row r="459" spans="25:26" ht="26.25">
      <c r="Y459" s="6"/>
      <c r="Z459" s="6"/>
    </row>
    <row r="460" spans="25:26" ht="26.25">
      <c r="Y460" s="6"/>
      <c r="Z460" s="6"/>
    </row>
    <row r="461" spans="25:26" ht="26.25">
      <c r="Y461" s="6"/>
      <c r="Z461" s="6"/>
    </row>
    <row r="462" spans="25:26" ht="26.25">
      <c r="Y462" s="6"/>
      <c r="Z462" s="6"/>
    </row>
    <row r="463" spans="25:26" ht="26.25">
      <c r="Y463" s="6"/>
      <c r="Z463" s="6"/>
    </row>
    <row r="464" spans="25:26" ht="26.25">
      <c r="Y464" s="6"/>
      <c r="Z464" s="6"/>
    </row>
    <row r="465" spans="25:26" ht="26.25">
      <c r="Y465" s="6"/>
      <c r="Z465" s="6"/>
    </row>
    <row r="466" spans="25:26" ht="26.25">
      <c r="Y466" s="6"/>
      <c r="Z466" s="6"/>
    </row>
    <row r="467" spans="25:26" ht="26.25">
      <c r="Y467" s="6"/>
      <c r="Z467" s="6"/>
    </row>
    <row r="468" spans="25:26" ht="26.25">
      <c r="Y468" s="6"/>
      <c r="Z468" s="6"/>
    </row>
    <row r="469" spans="25:26" ht="26.25">
      <c r="Y469" s="6"/>
      <c r="Z469" s="6"/>
    </row>
    <row r="470" spans="25:26" ht="26.25">
      <c r="Y470" s="6"/>
      <c r="Z470" s="6"/>
    </row>
    <row r="471" spans="25:26" ht="26.25">
      <c r="Y471" s="6"/>
      <c r="Z471" s="6"/>
    </row>
    <row r="472" spans="25:26" ht="26.25">
      <c r="Y472" s="6"/>
      <c r="Z472" s="6"/>
    </row>
    <row r="473" spans="25:26" ht="26.25">
      <c r="Y473" s="6"/>
      <c r="Z473" s="6"/>
    </row>
    <row r="474" spans="25:26" ht="26.25">
      <c r="Y474" s="6"/>
      <c r="Z474" s="6"/>
    </row>
    <row r="475" spans="25:26" ht="26.25">
      <c r="Y475" s="6"/>
      <c r="Z475" s="6"/>
    </row>
    <row r="476" spans="25:26" ht="26.25">
      <c r="Y476" s="6"/>
      <c r="Z476" s="6"/>
    </row>
    <row r="477" spans="25:26" ht="26.25">
      <c r="Y477" s="6"/>
      <c r="Z477" s="6"/>
    </row>
    <row r="478" spans="25:26" ht="26.25">
      <c r="Y478" s="6"/>
      <c r="Z478" s="6"/>
    </row>
    <row r="479" spans="25:26" ht="26.25">
      <c r="Y479" s="6"/>
      <c r="Z479" s="6"/>
    </row>
    <row r="480" spans="25:26" ht="26.25">
      <c r="Y480" s="6"/>
      <c r="Z480" s="6"/>
    </row>
    <row r="481" spans="25:26" ht="26.25">
      <c r="Y481" s="6"/>
      <c r="Z481" s="6"/>
    </row>
    <row r="482" spans="25:26" ht="26.25">
      <c r="Y482" s="6"/>
      <c r="Z482" s="6"/>
    </row>
    <row r="483" spans="25:26" ht="26.25">
      <c r="Y483" s="6"/>
      <c r="Z483" s="6"/>
    </row>
    <row r="484" spans="25:26" ht="26.25">
      <c r="Y484" s="6"/>
      <c r="Z484" s="6"/>
    </row>
    <row r="485" spans="25:26" ht="26.25">
      <c r="Y485" s="6"/>
      <c r="Z485" s="6"/>
    </row>
    <row r="486" spans="25:26" ht="26.25">
      <c r="Y486" s="6"/>
      <c r="Z486" s="6"/>
    </row>
    <row r="487" spans="25:26" ht="26.25">
      <c r="Y487" s="6"/>
      <c r="Z487" s="6"/>
    </row>
    <row r="488" spans="25:26" ht="26.25">
      <c r="Y488" s="6"/>
      <c r="Z488" s="6"/>
    </row>
    <row r="489" spans="25:26" ht="26.25">
      <c r="Y489" s="6"/>
      <c r="Z489" s="6"/>
    </row>
    <row r="490" spans="25:26" ht="26.25">
      <c r="Y490" s="6"/>
      <c r="Z490" s="6"/>
    </row>
    <row r="491" spans="25:26" ht="26.25">
      <c r="Y491" s="6"/>
      <c r="Z491" s="6"/>
    </row>
    <row r="492" spans="25:26" ht="26.25">
      <c r="Y492" s="6"/>
      <c r="Z492" s="6"/>
    </row>
    <row r="493" spans="25:26" ht="26.25">
      <c r="Y493" s="6"/>
      <c r="Z493" s="6"/>
    </row>
    <row r="494" spans="25:26" ht="26.25">
      <c r="Y494" s="6"/>
      <c r="Z494" s="6"/>
    </row>
    <row r="495" spans="25:26" ht="26.25">
      <c r="Y495" s="6"/>
      <c r="Z495" s="6"/>
    </row>
    <row r="496" spans="25:26" ht="26.25">
      <c r="Y496" s="6"/>
      <c r="Z496" s="6"/>
    </row>
    <row r="497" spans="25:26" ht="26.25">
      <c r="Y497" s="6"/>
      <c r="Z497" s="6"/>
    </row>
    <row r="498" spans="25:26" ht="26.25">
      <c r="Y498" s="6"/>
      <c r="Z498" s="6"/>
    </row>
    <row r="499" spans="25:26" ht="26.25">
      <c r="Y499" s="6"/>
      <c r="Z499" s="6"/>
    </row>
    <row r="500" spans="25:26" ht="26.25">
      <c r="Y500" s="6"/>
      <c r="Z500" s="6"/>
    </row>
    <row r="501" spans="25:26" ht="26.25">
      <c r="Y501" s="6"/>
      <c r="Z501" s="6"/>
    </row>
    <row r="502" spans="25:26" ht="26.25">
      <c r="Y502" s="6"/>
      <c r="Z502" s="6"/>
    </row>
    <row r="503" spans="25:26" ht="26.25">
      <c r="Y503" s="6"/>
      <c r="Z503" s="6"/>
    </row>
    <row r="504" spans="25:26" ht="26.25">
      <c r="Y504" s="6"/>
      <c r="Z504" s="6"/>
    </row>
  </sheetData>
  <sheetProtection/>
  <mergeCells count="17">
    <mergeCell ref="A1:AP1"/>
    <mergeCell ref="A2:AP2"/>
    <mergeCell ref="A4:A5"/>
    <mergeCell ref="B4:B5"/>
    <mergeCell ref="C4:C5"/>
    <mergeCell ref="D4:I4"/>
    <mergeCell ref="K4:P4"/>
    <mergeCell ref="R4:W4"/>
    <mergeCell ref="Y4:AE4"/>
    <mergeCell ref="AF4:AL4"/>
    <mergeCell ref="BA48:BE48"/>
    <mergeCell ref="AM4:AS4"/>
    <mergeCell ref="AT4:AZ4"/>
    <mergeCell ref="B48:E48"/>
    <mergeCell ref="U48:V48"/>
    <mergeCell ref="AT48:AW48"/>
    <mergeCell ref="AY48:AZ48"/>
  </mergeCells>
  <printOptions/>
  <pageMargins left="0.5905511811023623" right="0" top="0" bottom="0" header="0.1968503937007874" footer="0.2755905511811024"/>
  <pageSetup horizontalDpi="600" verticalDpi="600" orientation="landscape" paperSize="9" scale="25" r:id="rId1"/>
  <colBreaks count="2" manualBreakCount="2">
    <brk id="24" max="47" man="1"/>
    <brk id="45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R50"/>
  <sheetViews>
    <sheetView view="pageBreakPreview" zoomScale="50" zoomScaleSheetLayoutView="50" zoomScalePageLayoutView="0" workbookViewId="0" topLeftCell="A1">
      <pane xSplit="2" ySplit="6" topLeftCell="C2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19" sqref="J19"/>
    </sheetView>
  </sheetViews>
  <sheetFormatPr defaultColWidth="9.00390625" defaultRowHeight="12.75"/>
  <cols>
    <col min="1" max="1" width="4.00390625" style="5" customWidth="1"/>
    <col min="2" max="2" width="113.75390625" style="5" customWidth="1"/>
    <col min="3" max="3" width="11.375" style="5" customWidth="1"/>
    <col min="4" max="4" width="26.00390625" style="6" customWidth="1"/>
    <col min="5" max="5" width="25.875" style="6" customWidth="1"/>
    <col min="6" max="6" width="25.375" style="6" customWidth="1"/>
    <col min="7" max="7" width="26.00390625" style="6" customWidth="1"/>
    <col min="8" max="8" width="24.625" style="6" customWidth="1"/>
    <col min="9" max="9" width="26.00390625" style="6" customWidth="1"/>
    <col min="10" max="10" width="26.625" style="6" customWidth="1"/>
    <col min="11" max="11" width="25.375" style="6" customWidth="1"/>
    <col min="12" max="12" width="24.625" style="6" customWidth="1"/>
    <col min="13" max="13" width="25.00390625" style="6" customWidth="1"/>
    <col min="14" max="14" width="25.875" style="6" customWidth="1"/>
    <col min="15" max="15" width="23.25390625" style="6" customWidth="1"/>
    <col min="16" max="16" width="26.75390625" style="6" customWidth="1"/>
    <col min="17" max="17" width="25.25390625" style="6" customWidth="1"/>
    <col min="18" max="18" width="26.875" style="6" hidden="1" customWidth="1"/>
    <col min="19" max="19" width="24.375" style="6" hidden="1" customWidth="1"/>
    <col min="20" max="20" width="25.375" style="6" hidden="1" customWidth="1"/>
    <col min="21" max="21" width="25.625" style="6" hidden="1" customWidth="1"/>
    <col min="22" max="22" width="25.00390625" style="6" hidden="1" customWidth="1"/>
    <col min="23" max="24" width="26.25390625" style="6" hidden="1" customWidth="1"/>
    <col min="25" max="25" width="25.625" style="93" hidden="1" customWidth="1"/>
    <col min="26" max="27" width="23.875" style="6" hidden="1" customWidth="1"/>
    <col min="28" max="28" width="26.125" style="6" hidden="1" customWidth="1"/>
    <col min="29" max="29" width="23.875" style="6" hidden="1" customWidth="1"/>
    <col min="30" max="31" width="25.375" style="6" hidden="1" customWidth="1"/>
    <col min="32" max="44" width="9.125" style="4" customWidth="1"/>
    <col min="45" max="16384" width="9.125" style="5" customWidth="1"/>
  </cols>
  <sheetData>
    <row r="1" spans="1:31" ht="36" customHeight="1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1"/>
      <c r="W1" s="1"/>
      <c r="X1" s="1"/>
      <c r="Y1" s="2"/>
      <c r="Z1" s="3"/>
      <c r="AA1" s="3"/>
      <c r="AB1" s="3"/>
      <c r="AC1" s="3"/>
      <c r="AD1" s="3"/>
      <c r="AE1" s="3"/>
    </row>
    <row r="2" spans="1:31" ht="30" customHeight="1">
      <c r="A2" s="215" t="s">
        <v>53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1"/>
      <c r="W2" s="1"/>
      <c r="X2" s="1"/>
      <c r="Y2" s="2"/>
      <c r="Z2" s="3"/>
      <c r="AA2" s="3"/>
      <c r="AB2" s="3"/>
      <c r="AC2" s="3"/>
      <c r="AD2" s="3"/>
      <c r="AE2" s="3"/>
    </row>
    <row r="3" spans="1:25" ht="11.25" customHeight="1" thickBot="1">
      <c r="A3" s="1"/>
      <c r="B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2"/>
    </row>
    <row r="4" spans="1:44" s="8" customFormat="1" ht="30.75" customHeight="1">
      <c r="A4" s="216"/>
      <c r="B4" s="218" t="s">
        <v>7</v>
      </c>
      <c r="C4" s="218"/>
      <c r="D4" s="209" t="s">
        <v>11</v>
      </c>
      <c r="E4" s="210"/>
      <c r="F4" s="210"/>
      <c r="G4" s="210"/>
      <c r="H4" s="210"/>
      <c r="I4" s="220"/>
      <c r="J4" s="111"/>
      <c r="K4" s="221" t="s">
        <v>10</v>
      </c>
      <c r="L4" s="222"/>
      <c r="M4" s="222"/>
      <c r="N4" s="222"/>
      <c r="O4" s="222"/>
      <c r="P4" s="222"/>
      <c r="Q4" s="223"/>
      <c r="R4" s="209" t="s">
        <v>32</v>
      </c>
      <c r="S4" s="210"/>
      <c r="T4" s="210"/>
      <c r="U4" s="210"/>
      <c r="V4" s="210"/>
      <c r="W4" s="210"/>
      <c r="X4" s="210"/>
      <c r="Y4" s="211" t="s">
        <v>33</v>
      </c>
      <c r="Z4" s="210"/>
      <c r="AA4" s="210"/>
      <c r="AB4" s="210"/>
      <c r="AC4" s="210"/>
      <c r="AD4" s="210"/>
      <c r="AE4" s="212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31" ht="50.25" customHeight="1">
      <c r="A5" s="217"/>
      <c r="B5" s="219"/>
      <c r="C5" s="219"/>
      <c r="D5" s="11" t="s">
        <v>6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16</v>
      </c>
      <c r="J5" s="13" t="s">
        <v>36</v>
      </c>
      <c r="K5" s="11" t="s">
        <v>6</v>
      </c>
      <c r="L5" s="12" t="s">
        <v>12</v>
      </c>
      <c r="M5" s="12" t="s">
        <v>13</v>
      </c>
      <c r="N5" s="12" t="s">
        <v>14</v>
      </c>
      <c r="O5" s="12" t="s">
        <v>15</v>
      </c>
      <c r="P5" s="12" t="s">
        <v>16</v>
      </c>
      <c r="Q5" s="12" t="s">
        <v>36</v>
      </c>
      <c r="R5" s="14" t="s">
        <v>6</v>
      </c>
      <c r="S5" s="12" t="s">
        <v>12</v>
      </c>
      <c r="T5" s="12" t="s">
        <v>13</v>
      </c>
      <c r="U5" s="12" t="s">
        <v>14</v>
      </c>
      <c r="V5" s="12" t="s">
        <v>15</v>
      </c>
      <c r="W5" s="12" t="s">
        <v>16</v>
      </c>
      <c r="X5" s="112" t="s">
        <v>36</v>
      </c>
      <c r="Y5" s="114" t="s">
        <v>6</v>
      </c>
      <c r="Z5" s="16" t="s">
        <v>12</v>
      </c>
      <c r="AA5" s="16" t="s">
        <v>13</v>
      </c>
      <c r="AB5" s="16" t="s">
        <v>14</v>
      </c>
      <c r="AC5" s="16" t="s">
        <v>15</v>
      </c>
      <c r="AD5" s="16" t="s">
        <v>16</v>
      </c>
      <c r="AE5" s="110" t="s">
        <v>36</v>
      </c>
    </row>
    <row r="6" spans="1:44" s="22" customFormat="1" ht="25.5" customHeight="1" thickBot="1">
      <c r="A6" s="17"/>
      <c r="B6" s="18">
        <v>2</v>
      </c>
      <c r="C6" s="18"/>
      <c r="D6" s="19">
        <v>4</v>
      </c>
      <c r="E6" s="20"/>
      <c r="F6" s="20"/>
      <c r="G6" s="20"/>
      <c r="H6" s="20"/>
      <c r="I6" s="20"/>
      <c r="J6" s="20"/>
      <c r="K6" s="19">
        <v>7</v>
      </c>
      <c r="L6" s="20"/>
      <c r="M6" s="20"/>
      <c r="N6" s="20"/>
      <c r="O6" s="20"/>
      <c r="P6" s="20"/>
      <c r="Q6" s="20"/>
      <c r="R6" s="19">
        <v>8</v>
      </c>
      <c r="S6" s="20"/>
      <c r="T6" s="20"/>
      <c r="U6" s="20"/>
      <c r="V6" s="20"/>
      <c r="W6" s="20"/>
      <c r="X6" s="113"/>
      <c r="Y6" s="115">
        <v>9</v>
      </c>
      <c r="Z6" s="116"/>
      <c r="AA6" s="116"/>
      <c r="AB6" s="116"/>
      <c r="AC6" s="116"/>
      <c r="AD6" s="116"/>
      <c r="AE6" s="117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</row>
    <row r="7" spans="1:44" s="29" customFormat="1" ht="36" customHeight="1" thickBot="1">
      <c r="A7" s="23">
        <v>1</v>
      </c>
      <c r="B7" s="24" t="s">
        <v>2</v>
      </c>
      <c r="C7" s="24" t="s">
        <v>4</v>
      </c>
      <c r="D7" s="27"/>
      <c r="E7" s="27"/>
      <c r="F7" s="27"/>
      <c r="G7" s="27"/>
      <c r="H7" s="27"/>
      <c r="I7" s="27"/>
      <c r="J7" s="27"/>
      <c r="K7" s="28"/>
      <c r="L7" s="101"/>
      <c r="M7" s="101">
        <f>M10</f>
        <v>1306.63</v>
      </c>
      <c r="N7" s="101">
        <f>N9</f>
        <v>1306.63</v>
      </c>
      <c r="O7" s="101">
        <f>O12</f>
        <v>1306.63</v>
      </c>
      <c r="P7" s="27">
        <f>P12</f>
        <v>1306.63</v>
      </c>
      <c r="Q7" s="27"/>
      <c r="R7" s="27">
        <f aca="true" t="shared" si="0" ref="R7:AE7">SUM(R8:R18)</f>
        <v>1915.88</v>
      </c>
      <c r="S7" s="27">
        <f t="shared" si="0"/>
        <v>0</v>
      </c>
      <c r="T7" s="27">
        <f t="shared" si="0"/>
        <v>0</v>
      </c>
      <c r="U7" s="27">
        <f t="shared" si="0"/>
        <v>1915.88</v>
      </c>
      <c r="V7" s="27">
        <f t="shared" si="0"/>
        <v>0</v>
      </c>
      <c r="W7" s="27">
        <f t="shared" si="0"/>
        <v>0</v>
      </c>
      <c r="X7" s="27">
        <f t="shared" si="0"/>
        <v>0</v>
      </c>
      <c r="Y7" s="118" t="e">
        <f t="shared" si="0"/>
        <v>#REF!</v>
      </c>
      <c r="Z7" s="27" t="e">
        <f t="shared" si="0"/>
        <v>#REF!</v>
      </c>
      <c r="AA7" s="27" t="e">
        <f t="shared" si="0"/>
        <v>#REF!</v>
      </c>
      <c r="AB7" s="27" t="e">
        <f t="shared" si="0"/>
        <v>#REF!</v>
      </c>
      <c r="AC7" s="27" t="e">
        <f t="shared" si="0"/>
        <v>#REF!</v>
      </c>
      <c r="AD7" s="27" t="e">
        <f t="shared" si="0"/>
        <v>#REF!</v>
      </c>
      <c r="AE7" s="27" t="e">
        <f t="shared" si="0"/>
        <v>#REF!</v>
      </c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31" ht="39.75" customHeight="1">
      <c r="A8" s="38"/>
      <c r="B8" s="47" t="s">
        <v>20</v>
      </c>
      <c r="C8" s="48"/>
      <c r="D8" s="14"/>
      <c r="E8" s="152">
        <v>5148.06</v>
      </c>
      <c r="F8" s="153"/>
      <c r="G8" s="153"/>
      <c r="H8" s="153"/>
      <c r="I8" s="154"/>
      <c r="J8" s="152"/>
      <c r="K8" s="155">
        <f>L8</f>
        <v>1393.74</v>
      </c>
      <c r="L8" s="152">
        <v>1393.74</v>
      </c>
      <c r="M8" s="152"/>
      <c r="N8" s="152"/>
      <c r="O8" s="152"/>
      <c r="P8" s="152"/>
      <c r="Q8" s="153"/>
      <c r="R8" s="15">
        <f aca="true" t="shared" si="1" ref="R8:R16">SUM(S8:W8)</f>
        <v>0</v>
      </c>
      <c r="S8" s="50"/>
      <c r="T8" s="50"/>
      <c r="U8" s="50"/>
      <c r="V8" s="50"/>
      <c r="W8" s="50"/>
      <c r="X8" s="13"/>
      <c r="Y8" s="15" t="e">
        <f aca="true" t="shared" si="2" ref="Y8:Y16">SUM(Z8:AD8)</f>
        <v>#REF!</v>
      </c>
      <c r="Z8" s="37" t="e">
        <f>(E8-L8)*#REF!</f>
        <v>#REF!</v>
      </c>
      <c r="AA8" s="37"/>
      <c r="AB8" s="37"/>
      <c r="AC8" s="37"/>
      <c r="AD8" s="37"/>
      <c r="AE8" s="13"/>
    </row>
    <row r="9" spans="1:31" ht="42.75" customHeight="1">
      <c r="A9" s="38"/>
      <c r="B9" s="47" t="s">
        <v>21</v>
      </c>
      <c r="C9" s="48"/>
      <c r="D9" s="14"/>
      <c r="E9" s="152"/>
      <c r="F9" s="153"/>
      <c r="G9" s="153">
        <v>4406.88</v>
      </c>
      <c r="H9" s="156"/>
      <c r="I9" s="154"/>
      <c r="J9" s="152"/>
      <c r="K9" s="155">
        <f>N9</f>
        <v>1306.63</v>
      </c>
      <c r="L9" s="152"/>
      <c r="M9" s="152"/>
      <c r="N9" s="152">
        <v>1306.63</v>
      </c>
      <c r="O9" s="152"/>
      <c r="P9" s="152"/>
      <c r="Q9" s="153"/>
      <c r="R9" s="15">
        <f t="shared" si="1"/>
        <v>0</v>
      </c>
      <c r="S9" s="50"/>
      <c r="T9" s="50"/>
      <c r="U9" s="50"/>
      <c r="V9" s="50"/>
      <c r="W9" s="50"/>
      <c r="X9" s="13"/>
      <c r="Y9" s="15" t="e">
        <f t="shared" si="2"/>
        <v>#REF!</v>
      </c>
      <c r="Z9" s="37"/>
      <c r="AA9" s="37"/>
      <c r="AB9" s="37" t="e">
        <f>(G9-N9)*#REF!</f>
        <v>#REF!</v>
      </c>
      <c r="AC9" s="37"/>
      <c r="AD9" s="37"/>
      <c r="AE9" s="13"/>
    </row>
    <row r="10" spans="1:31" ht="48.75" customHeight="1">
      <c r="A10" s="40"/>
      <c r="B10" s="54" t="s">
        <v>43</v>
      </c>
      <c r="C10" s="40"/>
      <c r="D10" s="14"/>
      <c r="E10" s="152"/>
      <c r="F10" s="153">
        <v>1762.7</v>
      </c>
      <c r="G10" s="153"/>
      <c r="H10" s="153"/>
      <c r="I10" s="152"/>
      <c r="J10" s="153"/>
      <c r="K10" s="155">
        <f>M10</f>
        <v>1306.63</v>
      </c>
      <c r="L10" s="152"/>
      <c r="M10" s="152">
        <v>1306.63</v>
      </c>
      <c r="N10" s="152"/>
      <c r="O10" s="152"/>
      <c r="P10" s="152"/>
      <c r="Q10" s="153"/>
      <c r="R10" s="15">
        <f t="shared" si="1"/>
        <v>0</v>
      </c>
      <c r="S10" s="13"/>
      <c r="T10" s="13"/>
      <c r="U10" s="13"/>
      <c r="V10" s="13"/>
      <c r="W10" s="13"/>
      <c r="X10" s="13"/>
      <c r="Y10" s="15" t="e">
        <f t="shared" si="2"/>
        <v>#REF!</v>
      </c>
      <c r="Z10" s="37"/>
      <c r="AA10" s="37" t="e">
        <f>(F10-M10)*#REF!</f>
        <v>#REF!</v>
      </c>
      <c r="AB10" s="37"/>
      <c r="AC10" s="37"/>
      <c r="AD10" s="37"/>
      <c r="AE10" s="13"/>
    </row>
    <row r="11" spans="1:31" ht="42" customHeight="1">
      <c r="A11" s="40"/>
      <c r="B11" s="54" t="s">
        <v>22</v>
      </c>
      <c r="C11" s="40"/>
      <c r="D11" s="14"/>
      <c r="E11" s="152"/>
      <c r="F11" s="152"/>
      <c r="G11" s="152">
        <v>1598.53</v>
      </c>
      <c r="H11" s="152"/>
      <c r="I11" s="152"/>
      <c r="J11" s="152"/>
      <c r="K11" s="155">
        <f>N11</f>
        <v>1306.63</v>
      </c>
      <c r="L11" s="152"/>
      <c r="M11" s="152"/>
      <c r="N11" s="152">
        <v>1306.63</v>
      </c>
      <c r="O11" s="152"/>
      <c r="P11" s="152"/>
      <c r="Q11" s="152"/>
      <c r="R11" s="14">
        <f t="shared" si="1"/>
        <v>0</v>
      </c>
      <c r="S11" s="13"/>
      <c r="T11" s="13"/>
      <c r="U11" s="13"/>
      <c r="V11" s="13"/>
      <c r="W11" s="13"/>
      <c r="X11" s="13"/>
      <c r="Y11" s="14" t="e">
        <f t="shared" si="2"/>
        <v>#REF!</v>
      </c>
      <c r="Z11" s="37"/>
      <c r="AA11" s="37"/>
      <c r="AB11" s="37" t="e">
        <f>(G11-N11)*#REF!</f>
        <v>#REF!</v>
      </c>
      <c r="AC11" s="37"/>
      <c r="AD11" s="37"/>
      <c r="AE11" s="13"/>
    </row>
    <row r="12" spans="1:31" ht="33" customHeight="1">
      <c r="A12" s="30"/>
      <c r="B12" s="31" t="s">
        <v>17</v>
      </c>
      <c r="C12" s="32"/>
      <c r="D12" s="35"/>
      <c r="E12" s="157">
        <v>2700.1</v>
      </c>
      <c r="F12" s="157">
        <f>E12</f>
        <v>2700.1</v>
      </c>
      <c r="G12" s="157">
        <f>E12</f>
        <v>2700.1</v>
      </c>
      <c r="H12" s="157">
        <f>E12</f>
        <v>2700.1</v>
      </c>
      <c r="I12" s="157">
        <f>E12</f>
        <v>2700.1</v>
      </c>
      <c r="J12" s="157"/>
      <c r="K12" s="158">
        <f>L12</f>
        <v>1306.63</v>
      </c>
      <c r="L12" s="153">
        <v>1306.63</v>
      </c>
      <c r="M12" s="153">
        <f>L12</f>
        <v>1306.63</v>
      </c>
      <c r="N12" s="153">
        <f>M12</f>
        <v>1306.63</v>
      </c>
      <c r="O12" s="153">
        <f>N12</f>
        <v>1306.63</v>
      </c>
      <c r="P12" s="153">
        <f>O12</f>
        <v>1306.63</v>
      </c>
      <c r="Q12" s="157"/>
      <c r="R12" s="35">
        <f t="shared" si="1"/>
        <v>0</v>
      </c>
      <c r="S12" s="36"/>
      <c r="T12" s="36"/>
      <c r="U12" s="36"/>
      <c r="V12" s="36"/>
      <c r="W12" s="36"/>
      <c r="X12" s="36"/>
      <c r="Y12" s="35" t="e">
        <f t="shared" si="2"/>
        <v>#REF!</v>
      </c>
      <c r="Z12" s="37" t="e">
        <f>(E12-L12)*#REF!</f>
        <v>#REF!</v>
      </c>
      <c r="AA12" s="37" t="e">
        <f>(F12-M12)*#REF!</f>
        <v>#REF!</v>
      </c>
      <c r="AB12" s="37" t="e">
        <f>(G12-N12)*#REF!</f>
        <v>#REF!</v>
      </c>
      <c r="AC12" s="37" t="e">
        <f>(H12-O12)*#REF!</f>
        <v>#REF!</v>
      </c>
      <c r="AD12" s="37" t="e">
        <f>(I12-P12)*#REF!</f>
        <v>#REF!</v>
      </c>
      <c r="AE12" s="37"/>
    </row>
    <row r="13" spans="1:31" ht="47.25" customHeight="1">
      <c r="A13" s="38"/>
      <c r="B13" s="39" t="s">
        <v>42</v>
      </c>
      <c r="C13" s="40"/>
      <c r="D13" s="14"/>
      <c r="E13" s="152"/>
      <c r="F13" s="152"/>
      <c r="G13" s="152"/>
      <c r="H13" s="152"/>
      <c r="I13" s="152">
        <v>2643.09</v>
      </c>
      <c r="J13" s="152"/>
      <c r="K13" s="155">
        <f>P13</f>
        <v>1306.63</v>
      </c>
      <c r="L13" s="152"/>
      <c r="M13" s="152"/>
      <c r="N13" s="152"/>
      <c r="O13" s="152"/>
      <c r="P13" s="152">
        <v>1306.63</v>
      </c>
      <c r="Q13" s="152"/>
      <c r="R13" s="14">
        <f t="shared" si="1"/>
        <v>0</v>
      </c>
      <c r="S13" s="13"/>
      <c r="T13" s="13"/>
      <c r="U13" s="13"/>
      <c r="V13" s="13"/>
      <c r="W13" s="13"/>
      <c r="X13" s="13"/>
      <c r="Y13" s="14" t="e">
        <f t="shared" si="2"/>
        <v>#REF!</v>
      </c>
      <c r="Z13" s="37"/>
      <c r="AA13" s="37"/>
      <c r="AB13" s="37"/>
      <c r="AC13" s="37"/>
      <c r="AD13" s="37" t="e">
        <f>(I13-P13)*#REF!</f>
        <v>#REF!</v>
      </c>
      <c r="AE13" s="13"/>
    </row>
    <row r="14" spans="1:31" ht="37.5" customHeight="1">
      <c r="A14" s="38"/>
      <c r="B14" s="54" t="s">
        <v>23</v>
      </c>
      <c r="C14" s="40"/>
      <c r="D14" s="14"/>
      <c r="E14" s="152"/>
      <c r="F14" s="153">
        <v>1725.25</v>
      </c>
      <c r="G14" s="153"/>
      <c r="H14" s="153"/>
      <c r="I14" s="152"/>
      <c r="J14" s="153"/>
      <c r="K14" s="155">
        <f>M14</f>
        <v>1306.63</v>
      </c>
      <c r="L14" s="152"/>
      <c r="M14" s="152">
        <v>1306.63</v>
      </c>
      <c r="N14" s="152"/>
      <c r="O14" s="152"/>
      <c r="P14" s="152"/>
      <c r="Q14" s="153"/>
      <c r="R14" s="15">
        <f t="shared" si="1"/>
        <v>0</v>
      </c>
      <c r="S14" s="13"/>
      <c r="T14" s="13"/>
      <c r="U14" s="13"/>
      <c r="V14" s="13"/>
      <c r="W14" s="13"/>
      <c r="X14" s="13"/>
      <c r="Y14" s="15" t="e">
        <f t="shared" si="2"/>
        <v>#REF!</v>
      </c>
      <c r="Z14" s="37"/>
      <c r="AA14" s="37" t="e">
        <f>(F14-M14)*#REF!</f>
        <v>#REF!</v>
      </c>
      <c r="AB14" s="37"/>
      <c r="AC14" s="37"/>
      <c r="AD14" s="37"/>
      <c r="AE14" s="13"/>
    </row>
    <row r="15" spans="1:31" ht="35.25" customHeight="1">
      <c r="A15" s="38"/>
      <c r="B15" s="39" t="s">
        <v>18</v>
      </c>
      <c r="C15" s="40"/>
      <c r="D15" s="14"/>
      <c r="E15" s="152"/>
      <c r="F15" s="152"/>
      <c r="G15" s="152">
        <v>1306.63</v>
      </c>
      <c r="H15" s="152"/>
      <c r="I15" s="152"/>
      <c r="J15" s="152"/>
      <c r="K15" s="155">
        <f>N15</f>
        <v>1306.63</v>
      </c>
      <c r="L15" s="152"/>
      <c r="M15" s="152"/>
      <c r="N15" s="152">
        <v>1306.63</v>
      </c>
      <c r="O15" s="152"/>
      <c r="P15" s="152"/>
      <c r="Q15" s="152"/>
      <c r="R15" s="14">
        <f t="shared" si="1"/>
        <v>1915.88</v>
      </c>
      <c r="S15" s="13"/>
      <c r="T15" s="13"/>
      <c r="U15" s="13">
        <v>1915.88</v>
      </c>
      <c r="V15" s="13"/>
      <c r="W15" s="13"/>
      <c r="X15" s="13"/>
      <c r="Y15" s="14" t="e">
        <f t="shared" si="2"/>
        <v>#REF!</v>
      </c>
      <c r="Z15" s="37"/>
      <c r="AA15" s="37"/>
      <c r="AB15" s="37" t="e">
        <f>(G15-N15)*#REF!</f>
        <v>#REF!</v>
      </c>
      <c r="AC15" s="37"/>
      <c r="AD15" s="37"/>
      <c r="AE15" s="13"/>
    </row>
    <row r="16" spans="1:31" ht="44.25" customHeight="1">
      <c r="A16" s="9"/>
      <c r="B16" s="43" t="s">
        <v>41</v>
      </c>
      <c r="C16" s="32"/>
      <c r="D16" s="14"/>
      <c r="E16" s="157"/>
      <c r="F16" s="153">
        <v>1658.95</v>
      </c>
      <c r="G16" s="153"/>
      <c r="H16" s="153"/>
      <c r="I16" s="157"/>
      <c r="J16" s="152"/>
      <c r="K16" s="155">
        <f>M16</f>
        <v>1306.63</v>
      </c>
      <c r="L16" s="152"/>
      <c r="M16" s="152">
        <v>1306.63</v>
      </c>
      <c r="N16" s="152"/>
      <c r="O16" s="152"/>
      <c r="P16" s="152"/>
      <c r="Q16" s="153"/>
      <c r="R16" s="15">
        <f t="shared" si="1"/>
        <v>0</v>
      </c>
      <c r="S16" s="36"/>
      <c r="T16" s="36"/>
      <c r="U16" s="36"/>
      <c r="V16" s="36"/>
      <c r="W16" s="36"/>
      <c r="X16" s="13"/>
      <c r="Y16" s="15" t="e">
        <f t="shared" si="2"/>
        <v>#REF!</v>
      </c>
      <c r="Z16" s="37"/>
      <c r="AA16" s="37" t="e">
        <f>(F16-M16)*#REF!</f>
        <v>#REF!</v>
      </c>
      <c r="AB16" s="37"/>
      <c r="AC16" s="37"/>
      <c r="AD16" s="37"/>
      <c r="AE16" s="13"/>
    </row>
    <row r="17" spans="1:31" ht="45" customHeight="1">
      <c r="A17" s="38">
        <v>36</v>
      </c>
      <c r="B17" s="39" t="s">
        <v>37</v>
      </c>
      <c r="C17" s="106"/>
      <c r="D17" s="14"/>
      <c r="E17" s="159"/>
      <c r="F17" s="152"/>
      <c r="G17" s="152"/>
      <c r="H17" s="152"/>
      <c r="I17" s="152"/>
      <c r="J17" s="152">
        <v>1535.81</v>
      </c>
      <c r="K17" s="155">
        <f>Q17</f>
        <v>1200</v>
      </c>
      <c r="L17" s="152"/>
      <c r="M17" s="152"/>
      <c r="N17" s="152"/>
      <c r="O17" s="152"/>
      <c r="P17" s="160"/>
      <c r="Q17" s="152">
        <v>1200</v>
      </c>
      <c r="R17" s="14">
        <f>X17</f>
        <v>0</v>
      </c>
      <c r="S17" s="13"/>
      <c r="T17" s="13"/>
      <c r="U17" s="13"/>
      <c r="V17" s="13"/>
      <c r="W17" s="13"/>
      <c r="X17" s="13"/>
      <c r="Y17" s="14" t="e">
        <f>SUM(Z17:AE17)</f>
        <v>#REF!</v>
      </c>
      <c r="Z17" s="13"/>
      <c r="AA17" s="13"/>
      <c r="AB17" s="13"/>
      <c r="AC17" s="13"/>
      <c r="AD17" s="13"/>
      <c r="AE17" s="37" t="e">
        <f>(J17-Q17)*#REF!</f>
        <v>#REF!</v>
      </c>
    </row>
    <row r="18" spans="1:31" ht="69" customHeight="1" thickBot="1">
      <c r="A18" s="30"/>
      <c r="B18" s="31" t="s">
        <v>38</v>
      </c>
      <c r="D18" s="14"/>
      <c r="E18" s="161"/>
      <c r="F18" s="157"/>
      <c r="G18" s="157"/>
      <c r="H18" s="157"/>
      <c r="I18" s="157"/>
      <c r="J18" s="157">
        <v>1163.85</v>
      </c>
      <c r="K18" s="162">
        <f>Q18</f>
        <v>1163.85</v>
      </c>
      <c r="L18" s="157"/>
      <c r="M18" s="157"/>
      <c r="N18" s="157"/>
      <c r="O18" s="157"/>
      <c r="P18" s="163"/>
      <c r="Q18" s="176">
        <v>1163.85</v>
      </c>
      <c r="R18" s="35">
        <f>X18</f>
        <v>0</v>
      </c>
      <c r="S18" s="36"/>
      <c r="T18" s="36"/>
      <c r="U18" s="36"/>
      <c r="V18" s="36"/>
      <c r="W18" s="36"/>
      <c r="X18" s="36"/>
      <c r="Y18" s="57" t="e">
        <f>SUM(Z18:AE18)</f>
        <v>#REF!</v>
      </c>
      <c r="Z18" s="50"/>
      <c r="AA18" s="50"/>
      <c r="AB18" s="50"/>
      <c r="AC18" s="50"/>
      <c r="AD18" s="50"/>
      <c r="AE18" s="37" t="e">
        <f>(J18-Q18)*#REF!</f>
        <v>#REF!</v>
      </c>
    </row>
    <row r="19" spans="1:44" s="29" customFormat="1" ht="43.5" customHeight="1" thickBot="1">
      <c r="A19" s="23">
        <v>2</v>
      </c>
      <c r="B19" s="24" t="s">
        <v>0</v>
      </c>
      <c r="C19" s="58" t="s">
        <v>5</v>
      </c>
      <c r="D19" s="27"/>
      <c r="E19" s="164"/>
      <c r="F19" s="165"/>
      <c r="G19" s="165"/>
      <c r="H19" s="165"/>
      <c r="I19" s="165"/>
      <c r="J19" s="165"/>
      <c r="K19" s="166"/>
      <c r="L19" s="167">
        <f>L22</f>
        <v>91.01</v>
      </c>
      <c r="M19" s="167"/>
      <c r="N19" s="167"/>
      <c r="O19" s="167">
        <f>O22</f>
        <v>90.44</v>
      </c>
      <c r="P19" s="165"/>
      <c r="Q19" s="165">
        <f>Q26</f>
        <v>92.66</v>
      </c>
      <c r="R19" s="27">
        <f aca="true" t="shared" si="3" ref="R19:AE19">SUM(R20:R26)</f>
        <v>1348340.61</v>
      </c>
      <c r="S19" s="27">
        <f t="shared" si="3"/>
        <v>33183.33</v>
      </c>
      <c r="T19" s="27">
        <f t="shared" si="3"/>
        <v>959703.8500000001</v>
      </c>
      <c r="U19" s="27">
        <f t="shared" si="3"/>
        <v>202439.92</v>
      </c>
      <c r="V19" s="27">
        <f t="shared" si="3"/>
        <v>-0.1</v>
      </c>
      <c r="W19" s="27">
        <f t="shared" si="3"/>
        <v>145769.55</v>
      </c>
      <c r="X19" s="27">
        <f t="shared" si="3"/>
        <v>7244.06</v>
      </c>
      <c r="Y19" s="118" t="e">
        <f t="shared" si="3"/>
        <v>#REF!</v>
      </c>
      <c r="Z19" s="27" t="e">
        <f t="shared" si="3"/>
        <v>#REF!</v>
      </c>
      <c r="AA19" s="27" t="e">
        <f t="shared" si="3"/>
        <v>#REF!</v>
      </c>
      <c r="AB19" s="27" t="e">
        <f t="shared" si="3"/>
        <v>#REF!</v>
      </c>
      <c r="AC19" s="27" t="e">
        <f t="shared" si="3"/>
        <v>#REF!</v>
      </c>
      <c r="AD19" s="27" t="e">
        <f t="shared" si="3"/>
        <v>#REF!</v>
      </c>
      <c r="AE19" s="27" t="e">
        <f t="shared" si="3"/>
        <v>#REF!</v>
      </c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31" s="4" customFormat="1" ht="41.25" customHeight="1">
      <c r="A20" s="70"/>
      <c r="B20" s="47" t="s">
        <v>24</v>
      </c>
      <c r="C20" s="47"/>
      <c r="D20" s="14"/>
      <c r="E20" s="154"/>
      <c r="F20" s="168"/>
      <c r="G20" s="169">
        <v>269.47</v>
      </c>
      <c r="H20" s="154"/>
      <c r="I20" s="154"/>
      <c r="J20" s="154"/>
      <c r="K20" s="170">
        <f>N20</f>
        <v>104.38</v>
      </c>
      <c r="L20" s="168"/>
      <c r="M20" s="168"/>
      <c r="N20" s="168">
        <v>104.38</v>
      </c>
      <c r="O20" s="168"/>
      <c r="P20" s="168"/>
      <c r="Q20" s="168"/>
      <c r="R20" s="63">
        <f aca="true" t="shared" si="4" ref="R20:R25">SUM(S20:W20)</f>
        <v>16907.87</v>
      </c>
      <c r="S20" s="73"/>
      <c r="T20" s="73"/>
      <c r="U20" s="73">
        <v>16907.87</v>
      </c>
      <c r="V20" s="73"/>
      <c r="W20" s="73"/>
      <c r="X20" s="73"/>
      <c r="Y20" s="63" t="e">
        <f aca="true" t="shared" si="5" ref="Y20:Y25">SUM(Z20:AD20)</f>
        <v>#REF!</v>
      </c>
      <c r="Z20" s="73"/>
      <c r="AA20" s="73"/>
      <c r="AB20" s="37" t="e">
        <f>(G20-N20)*#REF!</f>
        <v>#REF!</v>
      </c>
      <c r="AC20" s="73"/>
      <c r="AD20" s="73"/>
      <c r="AE20" s="73"/>
    </row>
    <row r="21" spans="1:31" s="4" customFormat="1" ht="48" customHeight="1">
      <c r="A21" s="66"/>
      <c r="B21" s="55" t="s">
        <v>43</v>
      </c>
      <c r="C21" s="47"/>
      <c r="D21" s="57"/>
      <c r="E21" s="154"/>
      <c r="F21" s="157">
        <v>109.28</v>
      </c>
      <c r="G21" s="154"/>
      <c r="H21" s="154"/>
      <c r="I21" s="154"/>
      <c r="J21" s="154"/>
      <c r="K21" s="155">
        <f>M21</f>
        <v>83.75</v>
      </c>
      <c r="L21" s="157"/>
      <c r="M21" s="157">
        <v>83.75</v>
      </c>
      <c r="N21" s="157"/>
      <c r="O21" s="157"/>
      <c r="P21" s="157"/>
      <c r="Q21" s="157"/>
      <c r="R21" s="35">
        <f t="shared" si="4"/>
        <v>10426.68</v>
      </c>
      <c r="S21" s="36"/>
      <c r="T21" s="36">
        <v>10426.68</v>
      </c>
      <c r="U21" s="36"/>
      <c r="V21" s="36"/>
      <c r="W21" s="36"/>
      <c r="X21" s="36"/>
      <c r="Y21" s="35" t="e">
        <f t="shared" si="5"/>
        <v>#REF!</v>
      </c>
      <c r="Z21" s="13"/>
      <c r="AA21" s="13" t="e">
        <f>(F21-M21)*#REF!</f>
        <v>#REF!</v>
      </c>
      <c r="AB21" s="13"/>
      <c r="AC21" s="13"/>
      <c r="AD21" s="13"/>
      <c r="AE21" s="36"/>
    </row>
    <row r="22" spans="1:31" ht="40.5" customHeight="1">
      <c r="A22" s="9"/>
      <c r="B22" s="39" t="s">
        <v>35</v>
      </c>
      <c r="C22" s="40"/>
      <c r="D22" s="14"/>
      <c r="E22" s="152">
        <v>169.28</v>
      </c>
      <c r="F22" s="152">
        <f>E22</f>
        <v>169.28</v>
      </c>
      <c r="G22" s="152">
        <f>E22</f>
        <v>169.28</v>
      </c>
      <c r="H22" s="152">
        <f>E22</f>
        <v>169.28</v>
      </c>
      <c r="I22" s="171" t="e">
        <f>#REF!/#REF!</f>
        <v>#REF!</v>
      </c>
      <c r="J22" s="152"/>
      <c r="K22" s="155"/>
      <c r="L22" s="152">
        <v>91.01</v>
      </c>
      <c r="M22" s="152">
        <v>94.26</v>
      </c>
      <c r="N22" s="152">
        <f>M22</f>
        <v>94.26</v>
      </c>
      <c r="O22" s="152">
        <v>90.44</v>
      </c>
      <c r="P22" s="152">
        <f>M22</f>
        <v>94.26</v>
      </c>
      <c r="Q22" s="152"/>
      <c r="R22" s="14">
        <f t="shared" si="4"/>
        <v>326438.27</v>
      </c>
      <c r="S22" s="13">
        <v>33183.33</v>
      </c>
      <c r="T22" s="13">
        <f>564.62</f>
        <v>564.62</v>
      </c>
      <c r="U22" s="13">
        <f>-5236.21+190768.26</f>
        <v>185532.05000000002</v>
      </c>
      <c r="V22" s="13">
        <f>-0.1</f>
        <v>-0.1</v>
      </c>
      <c r="W22" s="13">
        <f>107573.94-415.57</f>
        <v>107158.37</v>
      </c>
      <c r="X22" s="13"/>
      <c r="Y22" s="14" t="e">
        <f t="shared" si="5"/>
        <v>#REF!</v>
      </c>
      <c r="Z22" s="37" t="e">
        <f>(E22-L22)*#REF!</f>
        <v>#REF!</v>
      </c>
      <c r="AA22" s="37" t="e">
        <f>(F22-M22)*#REF!</f>
        <v>#REF!</v>
      </c>
      <c r="AB22" s="37" t="e">
        <f>(G22-N22)*#REF!</f>
        <v>#REF!</v>
      </c>
      <c r="AC22" s="37" t="e">
        <f>(H22-O22)*#REF!</f>
        <v>#REF!</v>
      </c>
      <c r="AD22" s="37" t="e">
        <f>(I22-P22)*#REF!</f>
        <v>#REF!</v>
      </c>
      <c r="AE22" s="13"/>
    </row>
    <row r="23" spans="1:31" s="4" customFormat="1" ht="42" customHeight="1">
      <c r="A23" s="66"/>
      <c r="B23" s="39" t="s">
        <v>23</v>
      </c>
      <c r="C23" s="39"/>
      <c r="D23" s="14"/>
      <c r="E23" s="152"/>
      <c r="F23" s="152">
        <v>112.83</v>
      </c>
      <c r="G23" s="152"/>
      <c r="H23" s="152"/>
      <c r="I23" s="152"/>
      <c r="J23" s="152"/>
      <c r="K23" s="158">
        <f>M23</f>
        <v>90.68</v>
      </c>
      <c r="L23" s="152"/>
      <c r="M23" s="152">
        <v>90.68</v>
      </c>
      <c r="N23" s="152"/>
      <c r="O23" s="152"/>
      <c r="P23" s="152"/>
      <c r="Q23" s="152"/>
      <c r="R23" s="14">
        <f t="shared" si="4"/>
        <v>43697.13</v>
      </c>
      <c r="S23" s="13"/>
      <c r="T23" s="13">
        <v>43697.13</v>
      </c>
      <c r="U23" s="13"/>
      <c r="V23" s="13"/>
      <c r="W23" s="13"/>
      <c r="X23" s="13"/>
      <c r="Y23" s="14" t="e">
        <f t="shared" si="5"/>
        <v>#REF!</v>
      </c>
      <c r="Z23" s="13"/>
      <c r="AA23" s="37" t="e">
        <f>(F23-M23)*#REF!</f>
        <v>#REF!</v>
      </c>
      <c r="AB23" s="13"/>
      <c r="AC23" s="13"/>
      <c r="AD23" s="13"/>
      <c r="AE23" s="13"/>
    </row>
    <row r="24" spans="1:31" s="4" customFormat="1" ht="43.5" customHeight="1">
      <c r="A24" s="66"/>
      <c r="B24" s="43" t="s">
        <v>41</v>
      </c>
      <c r="C24" s="43"/>
      <c r="D24" s="15"/>
      <c r="E24" s="153"/>
      <c r="F24" s="172">
        <v>124.13</v>
      </c>
      <c r="G24" s="153"/>
      <c r="H24" s="153"/>
      <c r="I24" s="153"/>
      <c r="J24" s="153"/>
      <c r="K24" s="158">
        <f>M24</f>
        <v>103.34</v>
      </c>
      <c r="L24" s="153"/>
      <c r="M24" s="153">
        <v>103.34</v>
      </c>
      <c r="N24" s="153"/>
      <c r="O24" s="153"/>
      <c r="P24" s="153"/>
      <c r="Q24" s="153"/>
      <c r="R24" s="15">
        <f t="shared" si="4"/>
        <v>905015.42</v>
      </c>
      <c r="S24" s="37"/>
      <c r="T24" s="36">
        <v>905015.42</v>
      </c>
      <c r="U24" s="37"/>
      <c r="V24" s="37"/>
      <c r="W24" s="37"/>
      <c r="X24" s="37"/>
      <c r="Y24" s="15" t="e">
        <f t="shared" si="5"/>
        <v>#REF!</v>
      </c>
      <c r="Z24" s="37"/>
      <c r="AA24" s="37" t="e">
        <f>(F24-M24)*#REF!</f>
        <v>#REF!</v>
      </c>
      <c r="AB24" s="37"/>
      <c r="AC24" s="37"/>
      <c r="AD24" s="37"/>
      <c r="AE24" s="37"/>
    </row>
    <row r="25" spans="1:31" ht="54.75" customHeight="1">
      <c r="A25" s="9"/>
      <c r="B25" s="39" t="s">
        <v>42</v>
      </c>
      <c r="C25" s="40"/>
      <c r="D25" s="14"/>
      <c r="E25" s="152"/>
      <c r="F25" s="152"/>
      <c r="G25" s="152"/>
      <c r="H25" s="152"/>
      <c r="I25" s="152">
        <v>167.41</v>
      </c>
      <c r="J25" s="152"/>
      <c r="K25" s="155">
        <f>P25</f>
        <v>90.12</v>
      </c>
      <c r="L25" s="152"/>
      <c r="M25" s="152"/>
      <c r="N25" s="152"/>
      <c r="O25" s="152"/>
      <c r="P25" s="153">
        <v>90.12</v>
      </c>
      <c r="Q25" s="152"/>
      <c r="R25" s="14">
        <f t="shared" si="4"/>
        <v>38611.18</v>
      </c>
      <c r="S25" s="13"/>
      <c r="T25" s="13"/>
      <c r="U25" s="13"/>
      <c r="V25" s="13"/>
      <c r="W25" s="13">
        <v>38611.18</v>
      </c>
      <c r="X25" s="13"/>
      <c r="Y25" s="14" t="e">
        <f t="shared" si="5"/>
        <v>#REF!</v>
      </c>
      <c r="Z25" s="37"/>
      <c r="AA25" s="37"/>
      <c r="AB25" s="37"/>
      <c r="AC25" s="37"/>
      <c r="AD25" s="37" t="e">
        <f>(I25-P25)*#REF!</f>
        <v>#REF!</v>
      </c>
      <c r="AE25" s="13"/>
    </row>
    <row r="26" spans="1:31" ht="51" customHeight="1" thickBot="1">
      <c r="A26" s="38">
        <v>36</v>
      </c>
      <c r="B26" s="39" t="s">
        <v>37</v>
      </c>
      <c r="C26" s="106"/>
      <c r="D26" s="35"/>
      <c r="E26" s="159"/>
      <c r="F26" s="152"/>
      <c r="G26" s="152"/>
      <c r="H26" s="152"/>
      <c r="I26" s="152"/>
      <c r="J26" s="152">
        <v>92.66</v>
      </c>
      <c r="K26" s="155">
        <f>Q26</f>
        <v>92.66</v>
      </c>
      <c r="L26" s="152"/>
      <c r="M26" s="152"/>
      <c r="N26" s="152"/>
      <c r="O26" s="152"/>
      <c r="P26" s="160"/>
      <c r="Q26" s="175">
        <v>92.66</v>
      </c>
      <c r="R26" s="14">
        <f>X26</f>
        <v>7244.06</v>
      </c>
      <c r="S26" s="13"/>
      <c r="T26" s="13"/>
      <c r="U26" s="13"/>
      <c r="V26" s="13"/>
      <c r="W26" s="13"/>
      <c r="X26" s="13">
        <v>7244.06</v>
      </c>
      <c r="Y26" s="57" t="e">
        <f>SUM(Z26:AE26)</f>
        <v>#REF!</v>
      </c>
      <c r="Z26" s="36"/>
      <c r="AA26" s="36"/>
      <c r="AB26" s="36"/>
      <c r="AC26" s="36"/>
      <c r="AD26" s="36"/>
      <c r="AE26" s="37" t="e">
        <f>(J26-Q26)*#REF!</f>
        <v>#REF!</v>
      </c>
    </row>
    <row r="27" spans="1:44" s="29" customFormat="1" ht="43.5" customHeight="1" thickBot="1">
      <c r="A27" s="23">
        <v>3</v>
      </c>
      <c r="B27" s="24" t="s">
        <v>1</v>
      </c>
      <c r="C27" s="24" t="s">
        <v>5</v>
      </c>
      <c r="D27" s="28"/>
      <c r="E27" s="166"/>
      <c r="F27" s="166"/>
      <c r="G27" s="166"/>
      <c r="H27" s="166"/>
      <c r="I27" s="166"/>
      <c r="J27" s="166"/>
      <c r="K27" s="166"/>
      <c r="L27" s="167"/>
      <c r="M27" s="167"/>
      <c r="N27" s="167"/>
      <c r="O27" s="167">
        <f>O32</f>
        <v>20.91</v>
      </c>
      <c r="P27" s="165"/>
      <c r="Q27" s="180">
        <f>Q33</f>
        <v>19.49</v>
      </c>
      <c r="R27" s="101">
        <f aca="true" t="shared" si="6" ref="R27:AE27">SUM(R28:R36)</f>
        <v>1636202.9099999997</v>
      </c>
      <c r="S27" s="119">
        <f t="shared" si="6"/>
        <v>187312.74</v>
      </c>
      <c r="T27" s="119">
        <f t="shared" si="6"/>
        <v>728957.56</v>
      </c>
      <c r="U27" s="119">
        <f t="shared" si="6"/>
        <v>310889.52</v>
      </c>
      <c r="V27" s="119">
        <f t="shared" si="6"/>
        <v>213729.3</v>
      </c>
      <c r="W27" s="119">
        <f t="shared" si="6"/>
        <v>177524.74</v>
      </c>
      <c r="X27" s="119">
        <f t="shared" si="6"/>
        <v>17789.05</v>
      </c>
      <c r="Y27" s="118" t="e">
        <f t="shared" si="6"/>
        <v>#REF!</v>
      </c>
      <c r="Z27" s="28" t="e">
        <f t="shared" si="6"/>
        <v>#REF!</v>
      </c>
      <c r="AA27" s="28" t="e">
        <f t="shared" si="6"/>
        <v>#REF!</v>
      </c>
      <c r="AB27" s="28" t="e">
        <f t="shared" si="6"/>
        <v>#REF!</v>
      </c>
      <c r="AC27" s="28" t="e">
        <f t="shared" si="6"/>
        <v>#REF!</v>
      </c>
      <c r="AD27" s="28" t="e">
        <f t="shared" si="6"/>
        <v>#REF!</v>
      </c>
      <c r="AE27" s="28" t="e">
        <f t="shared" si="6"/>
        <v>#REF!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31" ht="51" customHeight="1">
      <c r="A28" s="74"/>
      <c r="B28" s="47" t="s">
        <v>20</v>
      </c>
      <c r="C28" s="32"/>
      <c r="D28" s="14"/>
      <c r="E28" s="153">
        <v>36.7</v>
      </c>
      <c r="F28" s="157"/>
      <c r="G28" s="157"/>
      <c r="H28" s="153"/>
      <c r="I28" s="153"/>
      <c r="J28" s="153"/>
      <c r="K28" s="155">
        <f>L28</f>
        <v>20.82</v>
      </c>
      <c r="L28" s="152">
        <v>20.82</v>
      </c>
      <c r="M28" s="152"/>
      <c r="N28" s="152"/>
      <c r="O28" s="152"/>
      <c r="P28" s="152"/>
      <c r="Q28" s="152"/>
      <c r="R28" s="14">
        <f>SUM(S28:W28)</f>
        <v>2987.68</v>
      </c>
      <c r="S28" s="36">
        <v>2987.68</v>
      </c>
      <c r="T28" s="36"/>
      <c r="U28" s="36"/>
      <c r="V28" s="13"/>
      <c r="W28" s="13"/>
      <c r="X28" s="13"/>
      <c r="Y28" s="14" t="e">
        <f>SUM(Z28:AD28)</f>
        <v>#REF!</v>
      </c>
      <c r="Z28" s="37" t="e">
        <f>(E28-L28)*#REF!</f>
        <v>#REF!</v>
      </c>
      <c r="AA28" s="37"/>
      <c r="AB28" s="37"/>
      <c r="AC28" s="37"/>
      <c r="AD28" s="37"/>
      <c r="AE28" s="13"/>
    </row>
    <row r="29" spans="1:31" ht="49.5" customHeight="1">
      <c r="A29" s="74"/>
      <c r="B29" s="47" t="s">
        <v>21</v>
      </c>
      <c r="C29" s="48"/>
      <c r="D29" s="14"/>
      <c r="E29" s="153"/>
      <c r="F29" s="152"/>
      <c r="G29" s="154">
        <v>35.46</v>
      </c>
      <c r="H29" s="153"/>
      <c r="I29" s="153"/>
      <c r="J29" s="153"/>
      <c r="K29" s="155">
        <f>N29</f>
        <v>23.5</v>
      </c>
      <c r="L29" s="152"/>
      <c r="M29" s="152"/>
      <c r="N29" s="152">
        <v>23.5</v>
      </c>
      <c r="O29" s="152"/>
      <c r="P29" s="152"/>
      <c r="Q29" s="153"/>
      <c r="R29" s="15">
        <f>SUM(S29:W29)</f>
        <v>9764.25</v>
      </c>
      <c r="S29" s="50"/>
      <c r="T29" s="50"/>
      <c r="U29" s="50">
        <v>9764.25</v>
      </c>
      <c r="V29" s="36"/>
      <c r="W29" s="36"/>
      <c r="X29" s="13"/>
      <c r="Y29" s="14" t="e">
        <f>SUM(Z29:AD29)</f>
        <v>#REF!</v>
      </c>
      <c r="Z29" s="37"/>
      <c r="AA29" s="37"/>
      <c r="AB29" s="37" t="e">
        <f>(G29-N29)*#REF!</f>
        <v>#REF!</v>
      </c>
      <c r="AC29" s="37"/>
      <c r="AD29" s="37"/>
      <c r="AE29" s="13"/>
    </row>
    <row r="30" spans="1:31" ht="51.75" customHeight="1">
      <c r="A30" s="38"/>
      <c r="B30" s="54" t="s">
        <v>39</v>
      </c>
      <c r="C30" s="40"/>
      <c r="D30" s="14"/>
      <c r="E30" s="152"/>
      <c r="F30" s="153">
        <v>23.4</v>
      </c>
      <c r="G30" s="152"/>
      <c r="H30" s="153"/>
      <c r="I30" s="153"/>
      <c r="J30" s="153"/>
      <c r="K30" s="155">
        <f>M30</f>
        <v>23.4</v>
      </c>
      <c r="L30" s="153"/>
      <c r="M30" s="153">
        <v>23.4</v>
      </c>
      <c r="N30" s="153"/>
      <c r="O30" s="153"/>
      <c r="P30" s="153"/>
      <c r="Q30" s="153"/>
      <c r="R30" s="15">
        <f>SUM(S30:W30)</f>
        <v>194211.22999999998</v>
      </c>
      <c r="S30" s="13"/>
      <c r="T30" s="13">
        <f>193964.36+246.87</f>
        <v>194211.22999999998</v>
      </c>
      <c r="U30" s="13"/>
      <c r="V30" s="13"/>
      <c r="W30" s="13"/>
      <c r="X30" s="37"/>
      <c r="Y30" s="15" t="e">
        <f>SUM(Z30:AD30)</f>
        <v>#REF!</v>
      </c>
      <c r="Z30" s="37"/>
      <c r="AA30" s="37" t="e">
        <f>(F30-M30)*#REF!</f>
        <v>#REF!</v>
      </c>
      <c r="AB30" s="37"/>
      <c r="AC30" s="37"/>
      <c r="AD30" s="37"/>
      <c r="AE30" s="13"/>
    </row>
    <row r="31" spans="1:31" ht="35.25" customHeight="1">
      <c r="A31" s="38"/>
      <c r="B31" s="39" t="s">
        <v>22</v>
      </c>
      <c r="C31" s="40"/>
      <c r="D31" s="14"/>
      <c r="E31" s="152"/>
      <c r="F31" s="173"/>
      <c r="G31" s="152">
        <v>28.96</v>
      </c>
      <c r="H31" s="152"/>
      <c r="I31" s="152"/>
      <c r="J31" s="152"/>
      <c r="K31" s="155">
        <f>N31</f>
        <v>28.96</v>
      </c>
      <c r="L31" s="152"/>
      <c r="M31" s="152"/>
      <c r="N31" s="152">
        <v>28.96</v>
      </c>
      <c r="O31" s="152"/>
      <c r="P31" s="152"/>
      <c r="Q31" s="152"/>
      <c r="R31" s="14">
        <f>SUM(S31:W31)</f>
        <v>3158.32</v>
      </c>
      <c r="S31" s="13"/>
      <c r="T31" s="13"/>
      <c r="U31" s="13">
        <v>3158.32</v>
      </c>
      <c r="V31" s="13"/>
      <c r="W31" s="13"/>
      <c r="X31" s="13"/>
      <c r="Y31" s="15" t="e">
        <f>SUM(Z31:AD31)</f>
        <v>#REF!</v>
      </c>
      <c r="Z31" s="37"/>
      <c r="AA31" s="37"/>
      <c r="AB31" s="37" t="e">
        <f>(G31-N31)*#REF!</f>
        <v>#REF!</v>
      </c>
      <c r="AC31" s="37"/>
      <c r="AD31" s="37"/>
      <c r="AE31" s="13"/>
    </row>
    <row r="32" spans="1:31" ht="42" customHeight="1">
      <c r="A32" s="9"/>
      <c r="B32" s="43" t="s">
        <v>25</v>
      </c>
      <c r="C32" s="32"/>
      <c r="D32" s="120"/>
      <c r="E32" s="157">
        <v>20.91</v>
      </c>
      <c r="F32" s="157">
        <f>E32</f>
        <v>20.91</v>
      </c>
      <c r="G32" s="157">
        <f>F32</f>
        <v>20.91</v>
      </c>
      <c r="H32" s="157">
        <f>G32</f>
        <v>20.91</v>
      </c>
      <c r="I32" s="157">
        <f>H32</f>
        <v>20.91</v>
      </c>
      <c r="J32" s="157"/>
      <c r="K32" s="174"/>
      <c r="L32" s="153">
        <v>20.67</v>
      </c>
      <c r="M32" s="153">
        <v>20.91</v>
      </c>
      <c r="N32" s="153">
        <f>M32</f>
        <v>20.91</v>
      </c>
      <c r="O32" s="153">
        <f>M32</f>
        <v>20.91</v>
      </c>
      <c r="P32" s="153">
        <v>19.49</v>
      </c>
      <c r="Q32" s="153"/>
      <c r="R32" s="15">
        <f>SUM(S32:X32)</f>
        <v>890897.32</v>
      </c>
      <c r="S32" s="36">
        <f>89252.89+251.23</f>
        <v>89504.12</v>
      </c>
      <c r="T32" s="36">
        <f>63985.7+39955.16+25036.48+1.77</f>
        <v>128979.11</v>
      </c>
      <c r="U32" s="36">
        <f>115812.72+182154.23</f>
        <v>297966.95</v>
      </c>
      <c r="V32" s="36">
        <f>146230.3+47595.72+19893.83+3.98+5.47</f>
        <v>213729.3</v>
      </c>
      <c r="W32" s="36">
        <f>159154.85+1562.99</f>
        <v>160717.84</v>
      </c>
      <c r="X32" s="37"/>
      <c r="Y32" s="15" t="e">
        <f>SUM(Z32:AD32)</f>
        <v>#REF!</v>
      </c>
      <c r="Z32" s="37" t="e">
        <f>(E32-L32)*#REF!</f>
        <v>#REF!</v>
      </c>
      <c r="AA32" s="37" t="e">
        <f>(F32-M32)*#REF!</f>
        <v>#REF!</v>
      </c>
      <c r="AB32" s="37" t="e">
        <f>(G32-N32)*#REF!</f>
        <v>#REF!</v>
      </c>
      <c r="AC32" s="37" t="e">
        <f>(H32-O32)*#REF!</f>
        <v>#REF!</v>
      </c>
      <c r="AD32" s="37" t="e">
        <f>(I32-P32)*#REF!</f>
        <v>#REF!</v>
      </c>
      <c r="AE32" s="37"/>
    </row>
    <row r="33" spans="1:31" ht="69" customHeight="1">
      <c r="A33" s="74"/>
      <c r="B33" s="31" t="s">
        <v>27</v>
      </c>
      <c r="C33" s="40"/>
      <c r="D33" s="14"/>
      <c r="E33" s="152">
        <v>30.09</v>
      </c>
      <c r="F33" s="152">
        <f>E33</f>
        <v>30.09</v>
      </c>
      <c r="G33" s="152"/>
      <c r="H33" s="152"/>
      <c r="I33" s="152"/>
      <c r="J33" s="152">
        <f>E33</f>
        <v>30.09</v>
      </c>
      <c r="K33" s="155"/>
      <c r="L33" s="152">
        <v>20.67</v>
      </c>
      <c r="M33" s="152">
        <v>25</v>
      </c>
      <c r="N33" s="152"/>
      <c r="O33" s="152"/>
      <c r="P33" s="152"/>
      <c r="Q33" s="153">
        <v>19.49</v>
      </c>
      <c r="R33" s="15">
        <f>SUM(S33:X33)</f>
        <v>502996.41</v>
      </c>
      <c r="S33" s="13">
        <f>94694.96+125.98</f>
        <v>94820.94</v>
      </c>
      <c r="T33" s="13">
        <f>307218.93+81997.15+883.19+287.15</f>
        <v>390386.42</v>
      </c>
      <c r="U33" s="13"/>
      <c r="V33" s="13"/>
      <c r="W33" s="13"/>
      <c r="X33" s="37">
        <v>17789.05</v>
      </c>
      <c r="Y33" s="14" t="e">
        <f>SUM(Z33:AE33)</f>
        <v>#REF!</v>
      </c>
      <c r="Z33" s="37" t="e">
        <f>(E33-L33)*#REF!</f>
        <v>#REF!</v>
      </c>
      <c r="AA33" s="37" t="e">
        <f>(F33-M33)*#REF!</f>
        <v>#REF!</v>
      </c>
      <c r="AB33" s="37"/>
      <c r="AC33" s="37"/>
      <c r="AD33" s="37"/>
      <c r="AE33" s="37" t="e">
        <f>(J33-Q33)*#REF!</f>
        <v>#REF!</v>
      </c>
    </row>
    <row r="34" spans="1:31" ht="39.75" customHeight="1">
      <c r="A34" s="38"/>
      <c r="B34" s="39" t="s">
        <v>23</v>
      </c>
      <c r="C34" s="40"/>
      <c r="D34" s="14"/>
      <c r="E34" s="152"/>
      <c r="F34" s="152">
        <v>21.56</v>
      </c>
      <c r="G34" s="152"/>
      <c r="H34" s="153"/>
      <c r="I34" s="153"/>
      <c r="J34" s="153"/>
      <c r="K34" s="155">
        <f>M34</f>
        <v>21.56</v>
      </c>
      <c r="L34" s="153"/>
      <c r="M34" s="153">
        <v>21.56</v>
      </c>
      <c r="N34" s="153"/>
      <c r="O34" s="153"/>
      <c r="P34" s="153"/>
      <c r="Q34" s="153"/>
      <c r="R34" s="15">
        <f>SUM(S34:W34)</f>
        <v>15380.800000000001</v>
      </c>
      <c r="S34" s="13"/>
      <c r="T34" s="13">
        <f>15087.51+293.29</f>
        <v>15380.800000000001</v>
      </c>
      <c r="U34" s="13"/>
      <c r="V34" s="13"/>
      <c r="W34" s="13"/>
      <c r="X34" s="37"/>
      <c r="Y34" s="14" t="e">
        <f>SUM(Z34:AE34)</f>
        <v>#REF!</v>
      </c>
      <c r="Z34" s="37"/>
      <c r="AA34" s="37" t="e">
        <f>(F34-M34)*#REF!</f>
        <v>#REF!</v>
      </c>
      <c r="AB34" s="37"/>
      <c r="AC34" s="37"/>
      <c r="AD34" s="37"/>
      <c r="AE34" s="13"/>
    </row>
    <row r="35" spans="1:31" ht="39.75" customHeight="1">
      <c r="A35" s="38"/>
      <c r="B35" s="39" t="s">
        <v>44</v>
      </c>
      <c r="C35" s="40"/>
      <c r="D35" s="14"/>
      <c r="E35" s="152"/>
      <c r="F35" s="153"/>
      <c r="G35" s="152"/>
      <c r="H35" s="153"/>
      <c r="I35" s="153"/>
      <c r="J35" s="153"/>
      <c r="K35" s="155">
        <f>O35</f>
        <v>0</v>
      </c>
      <c r="L35" s="153"/>
      <c r="M35" s="153"/>
      <c r="N35" s="153"/>
      <c r="O35" s="172"/>
      <c r="P35" s="153"/>
      <c r="Q35" s="153"/>
      <c r="R35" s="15">
        <f>SUM(S35:W35)</f>
        <v>0</v>
      </c>
      <c r="S35" s="13"/>
      <c r="T35" s="13"/>
      <c r="U35" s="13"/>
      <c r="V35" s="13"/>
      <c r="W35" s="13"/>
      <c r="X35" s="37"/>
      <c r="Y35" s="14">
        <f>SUM(Z35:AE35)</f>
        <v>0</v>
      </c>
      <c r="Z35" s="37"/>
      <c r="AA35" s="37"/>
      <c r="AB35" s="37"/>
      <c r="AC35" s="37"/>
      <c r="AD35" s="37"/>
      <c r="AE35" s="13"/>
    </row>
    <row r="36" spans="1:31" ht="43.5" customHeight="1" thickBot="1">
      <c r="A36" s="78"/>
      <c r="B36" s="79" t="s">
        <v>26</v>
      </c>
      <c r="C36" s="80"/>
      <c r="D36" s="82"/>
      <c r="E36" s="175"/>
      <c r="F36" s="175"/>
      <c r="G36" s="175"/>
      <c r="H36" s="175"/>
      <c r="I36" s="176">
        <v>27.59</v>
      </c>
      <c r="J36" s="176"/>
      <c r="K36" s="177">
        <f>P36</f>
        <v>21</v>
      </c>
      <c r="L36" s="176"/>
      <c r="M36" s="176"/>
      <c r="N36" s="176"/>
      <c r="O36" s="176"/>
      <c r="P36" s="176">
        <v>21</v>
      </c>
      <c r="Q36" s="176"/>
      <c r="R36" s="86">
        <f>SUM(S36:W36)</f>
        <v>16806.9</v>
      </c>
      <c r="S36" s="83"/>
      <c r="T36" s="83"/>
      <c r="U36" s="83"/>
      <c r="V36" s="83"/>
      <c r="W36" s="83">
        <v>16806.9</v>
      </c>
      <c r="X36" s="84"/>
      <c r="Y36" s="14" t="e">
        <f>SUM(Z36:AE36)</f>
        <v>#REF!</v>
      </c>
      <c r="Z36" s="36"/>
      <c r="AA36" s="36"/>
      <c r="AB36" s="36"/>
      <c r="AC36" s="36"/>
      <c r="AD36" s="37" t="e">
        <f>(I36-P36)*#REF!</f>
        <v>#REF!</v>
      </c>
      <c r="AE36" s="50"/>
    </row>
    <row r="37" spans="1:44" s="29" customFormat="1" ht="36.75" customHeight="1" thickBot="1">
      <c r="A37" s="23">
        <v>4</v>
      </c>
      <c r="B37" s="24" t="s">
        <v>3</v>
      </c>
      <c r="C37" s="24" t="s">
        <v>5</v>
      </c>
      <c r="D37" s="28"/>
      <c r="E37" s="166"/>
      <c r="F37" s="166"/>
      <c r="G37" s="166"/>
      <c r="H37" s="166"/>
      <c r="I37" s="166"/>
      <c r="J37" s="166"/>
      <c r="K37" s="178"/>
      <c r="L37" s="167">
        <f>L40</f>
        <v>17.7</v>
      </c>
      <c r="M37" s="167"/>
      <c r="N37" s="167"/>
      <c r="O37" s="167"/>
      <c r="P37" s="165">
        <f>P40</f>
        <v>18</v>
      </c>
      <c r="Q37" s="165"/>
      <c r="R37" s="27">
        <f aca="true" t="shared" si="7" ref="R37:AE37">SUM(R38:R45)</f>
        <v>1755408.79</v>
      </c>
      <c r="S37" s="27">
        <f t="shared" si="7"/>
        <v>162466.69</v>
      </c>
      <c r="T37" s="27">
        <f t="shared" si="7"/>
        <v>879056.25</v>
      </c>
      <c r="U37" s="27">
        <f t="shared" si="7"/>
        <v>345063.23</v>
      </c>
      <c r="V37" s="27">
        <f t="shared" si="7"/>
        <v>177277.44</v>
      </c>
      <c r="W37" s="27">
        <f t="shared" si="7"/>
        <v>191545.18</v>
      </c>
      <c r="X37" s="27">
        <f t="shared" si="7"/>
        <v>0</v>
      </c>
      <c r="Y37" s="118" t="e">
        <f t="shared" si="7"/>
        <v>#REF!</v>
      </c>
      <c r="Z37" s="27" t="e">
        <f t="shared" si="7"/>
        <v>#REF!</v>
      </c>
      <c r="AA37" s="27" t="e">
        <f t="shared" si="7"/>
        <v>#REF!</v>
      </c>
      <c r="AB37" s="27" t="e">
        <f t="shared" si="7"/>
        <v>#REF!</v>
      </c>
      <c r="AC37" s="27" t="e">
        <f t="shared" si="7"/>
        <v>#REF!</v>
      </c>
      <c r="AD37" s="27" t="e">
        <f t="shared" si="7"/>
        <v>#REF!</v>
      </c>
      <c r="AE37" s="27">
        <f t="shared" si="7"/>
        <v>0</v>
      </c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</row>
    <row r="38" spans="1:31" s="4" customFormat="1" ht="50.25" customHeight="1">
      <c r="A38" s="123"/>
      <c r="B38" s="124" t="s">
        <v>39</v>
      </c>
      <c r="C38" s="72"/>
      <c r="D38" s="63"/>
      <c r="E38" s="168"/>
      <c r="F38" s="168">
        <v>42.49</v>
      </c>
      <c r="G38" s="168"/>
      <c r="H38" s="168"/>
      <c r="I38" s="168"/>
      <c r="J38" s="153"/>
      <c r="K38" s="155">
        <f>M38</f>
        <v>26.5</v>
      </c>
      <c r="L38" s="153"/>
      <c r="M38" s="153">
        <v>26.5</v>
      </c>
      <c r="N38" s="152"/>
      <c r="O38" s="152"/>
      <c r="P38" s="152"/>
      <c r="Q38" s="153"/>
      <c r="R38" s="15">
        <f>SUM(S38:W38)</f>
        <v>374255.19</v>
      </c>
      <c r="S38" s="13"/>
      <c r="T38" s="13">
        <f>16184.54+358070.65</f>
        <v>374255.19</v>
      </c>
      <c r="U38" s="13"/>
      <c r="V38" s="13"/>
      <c r="W38" s="13"/>
      <c r="X38" s="13"/>
      <c r="Y38" s="15" t="e">
        <f>SUM(Z38:AD38)</f>
        <v>#REF!</v>
      </c>
      <c r="Z38" s="37"/>
      <c r="AA38" s="37" t="e">
        <f>(F38-M38)*#REF!</f>
        <v>#REF!</v>
      </c>
      <c r="AB38" s="37"/>
      <c r="AC38" s="37"/>
      <c r="AD38" s="37"/>
      <c r="AE38" s="13"/>
    </row>
    <row r="39" spans="1:31" ht="45.75" customHeight="1">
      <c r="A39" s="38"/>
      <c r="B39" s="39" t="s">
        <v>24</v>
      </c>
      <c r="C39" s="40"/>
      <c r="D39" s="14"/>
      <c r="E39" s="152"/>
      <c r="F39" s="152"/>
      <c r="G39" s="152">
        <v>29.1</v>
      </c>
      <c r="H39" s="152"/>
      <c r="I39" s="152"/>
      <c r="J39" s="152"/>
      <c r="K39" s="155">
        <f>N39</f>
        <v>29.1</v>
      </c>
      <c r="L39" s="179"/>
      <c r="M39" s="152"/>
      <c r="N39" s="179">
        <v>29.1</v>
      </c>
      <c r="O39" s="152"/>
      <c r="P39" s="152"/>
      <c r="Q39" s="152"/>
      <c r="R39" s="14">
        <f>SUM(S39:W39)</f>
        <v>16782.98</v>
      </c>
      <c r="S39" s="13"/>
      <c r="T39" s="13"/>
      <c r="U39" s="13">
        <f>4691.93+12091.05</f>
        <v>16782.98</v>
      </c>
      <c r="V39" s="13"/>
      <c r="W39" s="13"/>
      <c r="X39" s="13"/>
      <c r="Y39" s="15" t="e">
        <f>SUM(Z39:AD39)</f>
        <v>#REF!</v>
      </c>
      <c r="Z39" s="37"/>
      <c r="AA39" s="37"/>
      <c r="AB39" s="37" t="e">
        <f>(G39-N39)*#REF!</f>
        <v>#REF!</v>
      </c>
      <c r="AC39" s="37"/>
      <c r="AD39" s="37"/>
      <c r="AE39" s="13"/>
    </row>
    <row r="40" spans="1:31" ht="46.5" customHeight="1">
      <c r="A40" s="9"/>
      <c r="B40" s="43" t="s">
        <v>25</v>
      </c>
      <c r="C40" s="10"/>
      <c r="D40" s="120"/>
      <c r="E40" s="153">
        <v>19.8</v>
      </c>
      <c r="F40" s="153">
        <f>E40</f>
        <v>19.8</v>
      </c>
      <c r="G40" s="153">
        <f>F40</f>
        <v>19.8</v>
      </c>
      <c r="H40" s="153">
        <f>G40</f>
        <v>19.8</v>
      </c>
      <c r="I40" s="153">
        <f>H40</f>
        <v>19.8</v>
      </c>
      <c r="J40" s="153"/>
      <c r="K40" s="158"/>
      <c r="L40" s="153">
        <v>17.7</v>
      </c>
      <c r="M40" s="153">
        <v>19.8</v>
      </c>
      <c r="N40" s="153">
        <f>M40</f>
        <v>19.8</v>
      </c>
      <c r="O40" s="153">
        <f>M40</f>
        <v>19.8</v>
      </c>
      <c r="P40" s="153">
        <v>18</v>
      </c>
      <c r="Q40" s="153"/>
      <c r="R40" s="15">
        <f aca="true" t="shared" si="8" ref="R40:R45">SUM(S40:W40)</f>
        <v>731596.97</v>
      </c>
      <c r="S40" s="37">
        <f>76371.43</f>
        <v>76371.43</v>
      </c>
      <c r="T40" s="37">
        <f>98.8+138.6+23150</f>
        <v>23387.4</v>
      </c>
      <c r="U40" s="37">
        <f>45621.52-1138.62+107800.54+175996.81</f>
        <v>328280.25</v>
      </c>
      <c r="V40" s="37">
        <f>134006.67</f>
        <v>134006.67</v>
      </c>
      <c r="W40" s="37">
        <f>21156.87+148394.35</f>
        <v>169551.22</v>
      </c>
      <c r="X40" s="37"/>
      <c r="Y40" s="15" t="e">
        <f aca="true" t="shared" si="9" ref="Y40:Y45">SUM(Z40:AD40)</f>
        <v>#REF!</v>
      </c>
      <c r="Z40" s="37" t="e">
        <f>(E40-L40)*#REF!</f>
        <v>#REF!</v>
      </c>
      <c r="AA40" s="37" t="e">
        <f>(F40-M40)*#REF!</f>
        <v>#REF!</v>
      </c>
      <c r="AB40" s="37" t="e">
        <f>(G40-N40)*#REF!</f>
        <v>#REF!</v>
      </c>
      <c r="AC40" s="37" t="e">
        <f>(H40-O40)*#REF!</f>
        <v>#REF!</v>
      </c>
      <c r="AD40" s="37" t="e">
        <f>(I40-P40)*#REF!</f>
        <v>#REF!</v>
      </c>
      <c r="AE40" s="37"/>
    </row>
    <row r="41" spans="1:31" ht="47.25" customHeight="1">
      <c r="A41" s="38"/>
      <c r="B41" s="43" t="s">
        <v>29</v>
      </c>
      <c r="C41" s="10"/>
      <c r="D41" s="14"/>
      <c r="E41" s="153"/>
      <c r="F41" s="153"/>
      <c r="G41" s="153"/>
      <c r="H41" s="153">
        <v>13.58</v>
      </c>
      <c r="I41" s="153"/>
      <c r="J41" s="153"/>
      <c r="K41" s="155">
        <f>O41</f>
        <v>13.58</v>
      </c>
      <c r="L41" s="153"/>
      <c r="M41" s="153"/>
      <c r="N41" s="152"/>
      <c r="O41" s="152">
        <v>13.58</v>
      </c>
      <c r="P41" s="152"/>
      <c r="Q41" s="153"/>
      <c r="R41" s="15">
        <f t="shared" si="8"/>
        <v>43270.770000000004</v>
      </c>
      <c r="S41" s="13"/>
      <c r="T41" s="13"/>
      <c r="U41" s="13"/>
      <c r="V41" s="13">
        <f>0.04+13794.41+29476.32</f>
        <v>43270.770000000004</v>
      </c>
      <c r="W41" s="13"/>
      <c r="X41" s="37"/>
      <c r="Y41" s="15">
        <f t="shared" si="9"/>
        <v>0</v>
      </c>
      <c r="Z41" s="37"/>
      <c r="AA41" s="37"/>
      <c r="AB41" s="37"/>
      <c r="AC41" s="37"/>
      <c r="AD41" s="37"/>
      <c r="AE41" s="13"/>
    </row>
    <row r="42" spans="1:31" s="4" customFormat="1" ht="39.75" customHeight="1">
      <c r="A42" s="66"/>
      <c r="B42" s="39" t="s">
        <v>44</v>
      </c>
      <c r="C42" s="39"/>
      <c r="D42" s="151"/>
      <c r="E42" s="152"/>
      <c r="F42" s="153"/>
      <c r="G42" s="152"/>
      <c r="H42" s="172"/>
      <c r="I42" s="153"/>
      <c r="J42" s="153"/>
      <c r="K42" s="155">
        <f>O42</f>
        <v>0</v>
      </c>
      <c r="L42" s="153"/>
      <c r="M42" s="153"/>
      <c r="N42" s="152"/>
      <c r="O42" s="179"/>
      <c r="P42" s="152"/>
      <c r="Q42" s="153"/>
      <c r="R42" s="15">
        <f>SUM(S42:W42)</f>
        <v>0</v>
      </c>
      <c r="S42" s="13"/>
      <c r="T42" s="13"/>
      <c r="U42" s="13"/>
      <c r="V42" s="13"/>
      <c r="W42" s="13"/>
      <c r="X42" s="37"/>
      <c r="Y42" s="15">
        <f>SUM(Z42:AD42)</f>
        <v>0</v>
      </c>
      <c r="Z42" s="37"/>
      <c r="AA42" s="37"/>
      <c r="AB42" s="37"/>
      <c r="AC42" s="37"/>
      <c r="AD42" s="37"/>
      <c r="AE42" s="13"/>
    </row>
    <row r="43" spans="1:31" ht="43.5" customHeight="1">
      <c r="A43" s="66"/>
      <c r="B43" s="39" t="s">
        <v>26</v>
      </c>
      <c r="C43" s="39"/>
      <c r="D43" s="126"/>
      <c r="E43" s="152"/>
      <c r="F43" s="152"/>
      <c r="G43" s="152"/>
      <c r="H43" s="152"/>
      <c r="I43" s="152">
        <v>20.18</v>
      </c>
      <c r="J43" s="152"/>
      <c r="K43" s="155">
        <f>P43</f>
        <v>18</v>
      </c>
      <c r="L43" s="152"/>
      <c r="M43" s="152"/>
      <c r="N43" s="152"/>
      <c r="O43" s="152"/>
      <c r="P43" s="152">
        <v>18</v>
      </c>
      <c r="Q43" s="152"/>
      <c r="R43" s="14">
        <f>SUM(S43:W43)</f>
        <v>21993.96</v>
      </c>
      <c r="S43" s="13"/>
      <c r="T43" s="13"/>
      <c r="U43" s="13"/>
      <c r="V43" s="13"/>
      <c r="W43" s="13">
        <f>7705.79+14288.17</f>
        <v>21993.96</v>
      </c>
      <c r="X43" s="13"/>
      <c r="Y43" s="14" t="e">
        <f>SUM(Z43:AD43)</f>
        <v>#REF!</v>
      </c>
      <c r="Z43" s="37"/>
      <c r="AA43" s="37"/>
      <c r="AB43" s="37"/>
      <c r="AC43" s="37"/>
      <c r="AD43" s="37" t="e">
        <f>(I43-P43)*#REF!</f>
        <v>#REF!</v>
      </c>
      <c r="AE43" s="13"/>
    </row>
    <row r="44" spans="1:31" ht="57.75" customHeight="1">
      <c r="A44" s="9"/>
      <c r="B44" s="43" t="s">
        <v>27</v>
      </c>
      <c r="C44" s="10"/>
      <c r="D44" s="15"/>
      <c r="E44" s="153">
        <v>28.72</v>
      </c>
      <c r="F44" s="153">
        <f>E44</f>
        <v>28.72</v>
      </c>
      <c r="G44" s="153"/>
      <c r="H44" s="153"/>
      <c r="I44" s="153"/>
      <c r="J44" s="153"/>
      <c r="K44" s="158"/>
      <c r="L44" s="153">
        <v>17.7</v>
      </c>
      <c r="M44" s="153">
        <v>20</v>
      </c>
      <c r="N44" s="153"/>
      <c r="O44" s="153"/>
      <c r="P44" s="153"/>
      <c r="Q44" s="153"/>
      <c r="R44" s="15">
        <f>SUM(S44:X44)</f>
        <v>428622.38</v>
      </c>
      <c r="S44" s="37">
        <f>6453.51+79641.75</f>
        <v>86095.26</v>
      </c>
      <c r="T44" s="37">
        <f>31866.5+248110.99+62549.63</f>
        <v>342527.12</v>
      </c>
      <c r="U44" s="37"/>
      <c r="V44" s="37"/>
      <c r="W44" s="37"/>
      <c r="X44" s="37"/>
      <c r="Y44" s="15" t="e">
        <f t="shared" si="9"/>
        <v>#REF!</v>
      </c>
      <c r="Z44" s="37" t="e">
        <f>(E44-L44)*#REF!</f>
        <v>#REF!</v>
      </c>
      <c r="AA44" s="37" t="e">
        <f>(F44-M44)*#REF!</f>
        <v>#REF!</v>
      </c>
      <c r="AB44" s="37"/>
      <c r="AC44" s="37"/>
      <c r="AD44" s="37"/>
      <c r="AE44" s="13"/>
    </row>
    <row r="45" spans="1:31" ht="50.25" customHeight="1" thickBot="1">
      <c r="A45" s="38"/>
      <c r="B45" s="39" t="s">
        <v>28</v>
      </c>
      <c r="C45" s="40"/>
      <c r="D45" s="14"/>
      <c r="E45" s="152"/>
      <c r="F45" s="153">
        <v>31.2</v>
      </c>
      <c r="G45" s="153"/>
      <c r="H45" s="153"/>
      <c r="I45" s="153"/>
      <c r="J45" s="153"/>
      <c r="K45" s="155">
        <f>M45</f>
        <v>20</v>
      </c>
      <c r="L45" s="153"/>
      <c r="M45" s="153">
        <v>20</v>
      </c>
      <c r="N45" s="152"/>
      <c r="O45" s="152"/>
      <c r="P45" s="152"/>
      <c r="Q45" s="153"/>
      <c r="R45" s="15">
        <f t="shared" si="8"/>
        <v>138886.54</v>
      </c>
      <c r="S45" s="13"/>
      <c r="T45" s="13">
        <f>138886.54</f>
        <v>138886.54</v>
      </c>
      <c r="U45" s="13"/>
      <c r="V45" s="13"/>
      <c r="W45" s="13"/>
      <c r="X45" s="37"/>
      <c r="Y45" s="15" t="e">
        <f t="shared" si="9"/>
        <v>#REF!</v>
      </c>
      <c r="Z45" s="37"/>
      <c r="AA45" s="37" t="e">
        <f>(F45-M45)*#REF!</f>
        <v>#REF!</v>
      </c>
      <c r="AB45" s="37"/>
      <c r="AC45" s="37"/>
      <c r="AD45" s="37"/>
      <c r="AE45" s="13"/>
    </row>
    <row r="46" spans="1:44" s="91" customFormat="1" ht="27.75" customHeight="1" thickBot="1">
      <c r="A46" s="88"/>
      <c r="B46" s="89" t="s">
        <v>54</v>
      </c>
      <c r="C46" s="89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>
        <f aca="true" t="shared" si="10" ref="R46:AE46">R37+R27+R19+R7</f>
        <v>4741868.1899999995</v>
      </c>
      <c r="S46" s="90">
        <f t="shared" si="10"/>
        <v>382962.76</v>
      </c>
      <c r="T46" s="90">
        <f t="shared" si="10"/>
        <v>2567717.66</v>
      </c>
      <c r="U46" s="90">
        <f t="shared" si="10"/>
        <v>860308.55</v>
      </c>
      <c r="V46" s="90">
        <f t="shared" si="10"/>
        <v>391006.64</v>
      </c>
      <c r="W46" s="90">
        <f t="shared" si="10"/>
        <v>514839.47</v>
      </c>
      <c r="X46" s="90">
        <f t="shared" si="10"/>
        <v>25033.11</v>
      </c>
      <c r="Y46" s="90" t="e">
        <f t="shared" si="10"/>
        <v>#REF!</v>
      </c>
      <c r="Z46" s="90" t="e">
        <f t="shared" si="10"/>
        <v>#REF!</v>
      </c>
      <c r="AA46" s="90" t="e">
        <f t="shared" si="10"/>
        <v>#REF!</v>
      </c>
      <c r="AB46" s="90" t="e">
        <f t="shared" si="10"/>
        <v>#REF!</v>
      </c>
      <c r="AC46" s="90" t="e">
        <f t="shared" si="10"/>
        <v>#REF!</v>
      </c>
      <c r="AD46" s="90" t="e">
        <f t="shared" si="10"/>
        <v>#REF!</v>
      </c>
      <c r="AE46" s="90" t="e">
        <f t="shared" si="10"/>
        <v>#REF!</v>
      </c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ht="25.5" customHeight="1"/>
    <row r="48" spans="2:36" ht="55.5" customHeight="1">
      <c r="B48" s="208"/>
      <c r="C48" s="208"/>
      <c r="Y48" s="213" t="s">
        <v>19</v>
      </c>
      <c r="Z48" s="213"/>
      <c r="AA48" s="213"/>
      <c r="AB48" s="213"/>
      <c r="AD48" s="214" t="s">
        <v>45</v>
      </c>
      <c r="AE48" s="214"/>
      <c r="AF48" s="208"/>
      <c r="AG48" s="208"/>
      <c r="AH48" s="208"/>
      <c r="AI48" s="208"/>
      <c r="AJ48" s="208"/>
    </row>
    <row r="49" ht="55.5" customHeight="1"/>
    <row r="50" spans="25:33" ht="26.25">
      <c r="Y50" s="6"/>
      <c r="AA50" s="93"/>
      <c r="AF50" s="6"/>
      <c r="AG50" s="6"/>
    </row>
  </sheetData>
  <sheetProtection/>
  <mergeCells count="13">
    <mergeCell ref="AF48:AJ48"/>
    <mergeCell ref="R4:X4"/>
    <mergeCell ref="Y4:AE4"/>
    <mergeCell ref="B48:C48"/>
    <mergeCell ref="Y48:AB48"/>
    <mergeCell ref="AD48:AE48"/>
    <mergeCell ref="A1:U1"/>
    <mergeCell ref="A2:U2"/>
    <mergeCell ref="A4:A5"/>
    <mergeCell ref="B4:B5"/>
    <mergeCell ref="C4:C5"/>
    <mergeCell ref="D4:I4"/>
    <mergeCell ref="K4:Q4"/>
  </mergeCells>
  <printOptions/>
  <pageMargins left="0" right="0" top="0" bottom="0" header="0.1968503937007874" footer="0.2755905511811024"/>
  <pageSetup horizontalDpi="600" verticalDpi="600" orientation="landscape" paperSize="9" scale="29" r:id="rId1"/>
  <rowBreaks count="1" manualBreakCount="1">
    <brk id="46" max="51" man="1"/>
  </rowBreaks>
  <colBreaks count="1" manualBreakCount="1">
    <brk id="24" max="45" man="1"/>
  </colBreaks>
  <ignoredErrors>
    <ignoredError sqref="K15 K1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BM505"/>
  <sheetViews>
    <sheetView view="pageBreakPreview" zoomScale="50" zoomScaleSheetLayoutView="50" zoomScalePageLayoutView="0" workbookViewId="0" topLeftCell="A1">
      <pane xSplit="2" ySplit="6" topLeftCell="L2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31" sqref="T31"/>
    </sheetView>
  </sheetViews>
  <sheetFormatPr defaultColWidth="9.00390625" defaultRowHeight="12.75"/>
  <cols>
    <col min="1" max="1" width="11.125" style="5" customWidth="1"/>
    <col min="2" max="2" width="84.625" style="5" customWidth="1"/>
    <col min="3" max="3" width="11.125" style="5" customWidth="1"/>
    <col min="4" max="4" width="21.375" style="6" customWidth="1"/>
    <col min="5" max="5" width="22.125" style="92" customWidth="1"/>
    <col min="6" max="6" width="20.125" style="92" customWidth="1"/>
    <col min="7" max="7" width="20.625" style="92" customWidth="1"/>
    <col min="8" max="8" width="19.625" style="92" customWidth="1"/>
    <col min="9" max="9" width="20.75390625" style="92" customWidth="1"/>
    <col min="10" max="10" width="19.625" style="92" customWidth="1"/>
    <col min="11" max="11" width="21.75390625" style="6" customWidth="1"/>
    <col min="12" max="12" width="20.375" style="6" customWidth="1"/>
    <col min="13" max="13" width="16.625" style="6" customWidth="1"/>
    <col min="14" max="14" width="19.75390625" style="6" customWidth="1"/>
    <col min="15" max="15" width="18.00390625" style="6" customWidth="1"/>
    <col min="16" max="16" width="20.25390625" style="6" customWidth="1"/>
    <col min="17" max="17" width="20.00390625" style="6" customWidth="1"/>
    <col min="18" max="18" width="24.125" style="6" customWidth="1"/>
    <col min="19" max="19" width="23.625" style="6" customWidth="1"/>
    <col min="20" max="20" width="24.00390625" style="6" customWidth="1"/>
    <col min="21" max="21" width="25.625" style="6" customWidth="1"/>
    <col min="22" max="22" width="23.00390625" style="6" customWidth="1"/>
    <col min="23" max="23" width="26.625" style="6" customWidth="1"/>
    <col min="24" max="24" width="23.125" style="6" customWidth="1"/>
    <col min="25" max="25" width="21.625" style="95" customWidth="1"/>
    <col min="26" max="26" width="27.25390625" style="92" customWidth="1"/>
    <col min="27" max="27" width="21.625" style="92" customWidth="1"/>
    <col min="28" max="28" width="20.125" style="92" customWidth="1"/>
    <col min="29" max="29" width="20.375" style="92" customWidth="1"/>
    <col min="30" max="30" width="20.875" style="92" customWidth="1"/>
    <col min="31" max="31" width="21.75390625" style="92" customWidth="1"/>
    <col min="32" max="32" width="17.375" style="6" customWidth="1"/>
    <col min="33" max="33" width="17.75390625" style="6" customWidth="1"/>
    <col min="34" max="34" width="17.875" style="6" customWidth="1"/>
    <col min="35" max="35" width="17.00390625" style="6" customWidth="1"/>
    <col min="36" max="36" width="16.125" style="6" customWidth="1"/>
    <col min="37" max="37" width="17.25390625" style="6" customWidth="1"/>
    <col min="38" max="38" width="19.625" style="6" customWidth="1"/>
    <col min="39" max="39" width="26.875" style="6" customWidth="1"/>
    <col min="40" max="40" width="24.375" style="6" customWidth="1"/>
    <col min="41" max="41" width="25.375" style="6" customWidth="1"/>
    <col min="42" max="42" width="25.625" style="6" customWidth="1"/>
    <col min="43" max="43" width="25.00390625" style="6" customWidth="1"/>
    <col min="44" max="45" width="26.25390625" style="6" customWidth="1"/>
    <col min="46" max="46" width="25.625" style="93" customWidth="1"/>
    <col min="47" max="48" width="23.875" style="6" customWidth="1"/>
    <col min="49" max="49" width="26.125" style="6" customWidth="1"/>
    <col min="50" max="50" width="23.875" style="6" customWidth="1"/>
    <col min="51" max="52" width="25.375" style="6" customWidth="1"/>
    <col min="53" max="65" width="9.125" style="4" customWidth="1"/>
    <col min="66" max="16384" width="9.125" style="5" customWidth="1"/>
  </cols>
  <sheetData>
    <row r="1" spans="1:52" ht="36" customHeight="1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1"/>
      <c r="AR1" s="1"/>
      <c r="AS1" s="1"/>
      <c r="AT1" s="2"/>
      <c r="AU1" s="3"/>
      <c r="AV1" s="3"/>
      <c r="AW1" s="3"/>
      <c r="AX1" s="3"/>
      <c r="AY1" s="3"/>
      <c r="AZ1" s="3"/>
    </row>
    <row r="2" spans="1:52" ht="30" customHeight="1">
      <c r="A2" s="215" t="s">
        <v>53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1"/>
      <c r="AR2" s="1"/>
      <c r="AS2" s="1"/>
      <c r="AT2" s="2"/>
      <c r="AU2" s="3"/>
      <c r="AV2" s="3"/>
      <c r="AW2" s="3"/>
      <c r="AX2" s="3"/>
      <c r="AY2" s="3"/>
      <c r="AZ2" s="3"/>
    </row>
    <row r="3" spans="1:46" ht="11.25" customHeight="1" thickBot="1">
      <c r="A3" s="1"/>
      <c r="B3" s="1"/>
      <c r="D3" s="3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2"/>
    </row>
    <row r="4" spans="1:65" s="8" customFormat="1" ht="30.75" customHeight="1">
      <c r="A4" s="216"/>
      <c r="B4" s="218" t="s">
        <v>7</v>
      </c>
      <c r="C4" s="218"/>
      <c r="D4" s="209" t="s">
        <v>30</v>
      </c>
      <c r="E4" s="210"/>
      <c r="F4" s="210"/>
      <c r="G4" s="210"/>
      <c r="H4" s="210"/>
      <c r="I4" s="220"/>
      <c r="J4" s="111"/>
      <c r="K4" s="209" t="s">
        <v>11</v>
      </c>
      <c r="L4" s="210"/>
      <c r="M4" s="210"/>
      <c r="N4" s="210"/>
      <c r="O4" s="210"/>
      <c r="P4" s="220"/>
      <c r="Q4" s="111"/>
      <c r="R4" s="209" t="s">
        <v>31</v>
      </c>
      <c r="S4" s="210"/>
      <c r="T4" s="210"/>
      <c r="U4" s="210"/>
      <c r="V4" s="210"/>
      <c r="W4" s="220"/>
      <c r="X4" s="111"/>
      <c r="Y4" s="209" t="s">
        <v>8</v>
      </c>
      <c r="Z4" s="210"/>
      <c r="AA4" s="210"/>
      <c r="AB4" s="210"/>
      <c r="AC4" s="210"/>
      <c r="AD4" s="210"/>
      <c r="AE4" s="220"/>
      <c r="AF4" s="221" t="s">
        <v>10</v>
      </c>
      <c r="AG4" s="222"/>
      <c r="AH4" s="222"/>
      <c r="AI4" s="222"/>
      <c r="AJ4" s="222"/>
      <c r="AK4" s="222"/>
      <c r="AL4" s="223"/>
      <c r="AM4" s="209" t="s">
        <v>32</v>
      </c>
      <c r="AN4" s="210"/>
      <c r="AO4" s="210"/>
      <c r="AP4" s="210"/>
      <c r="AQ4" s="210"/>
      <c r="AR4" s="210"/>
      <c r="AS4" s="210"/>
      <c r="AT4" s="211" t="s">
        <v>33</v>
      </c>
      <c r="AU4" s="210"/>
      <c r="AV4" s="210"/>
      <c r="AW4" s="210"/>
      <c r="AX4" s="210"/>
      <c r="AY4" s="210"/>
      <c r="AZ4" s="212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52" ht="50.25" customHeight="1">
      <c r="A5" s="217"/>
      <c r="B5" s="219"/>
      <c r="C5" s="219"/>
      <c r="D5" s="11" t="s">
        <v>6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12" t="s">
        <v>36</v>
      </c>
      <c r="K5" s="11" t="s">
        <v>6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36</v>
      </c>
      <c r="R5" s="11" t="s">
        <v>6</v>
      </c>
      <c r="S5" s="12" t="s">
        <v>12</v>
      </c>
      <c r="T5" s="12" t="s">
        <v>13</v>
      </c>
      <c r="U5" s="12" t="s">
        <v>14</v>
      </c>
      <c r="V5" s="12" t="s">
        <v>15</v>
      </c>
      <c r="W5" s="12" t="s">
        <v>16</v>
      </c>
      <c r="X5" s="12" t="s">
        <v>36</v>
      </c>
      <c r="Y5" s="11" t="s">
        <v>6</v>
      </c>
      <c r="Z5" s="12" t="s">
        <v>12</v>
      </c>
      <c r="AA5" s="12" t="s">
        <v>13</v>
      </c>
      <c r="AB5" s="12" t="s">
        <v>14</v>
      </c>
      <c r="AC5" s="12" t="s">
        <v>15</v>
      </c>
      <c r="AD5" s="12" t="s">
        <v>16</v>
      </c>
      <c r="AE5" s="12" t="s">
        <v>36</v>
      </c>
      <c r="AF5" s="11" t="s">
        <v>6</v>
      </c>
      <c r="AG5" s="12" t="s">
        <v>12</v>
      </c>
      <c r="AH5" s="12" t="s">
        <v>13</v>
      </c>
      <c r="AI5" s="12" t="s">
        <v>14</v>
      </c>
      <c r="AJ5" s="12" t="s">
        <v>15</v>
      </c>
      <c r="AK5" s="12" t="s">
        <v>16</v>
      </c>
      <c r="AL5" s="12" t="s">
        <v>36</v>
      </c>
      <c r="AM5" s="14" t="s">
        <v>6</v>
      </c>
      <c r="AN5" s="12" t="s">
        <v>12</v>
      </c>
      <c r="AO5" s="12" t="s">
        <v>13</v>
      </c>
      <c r="AP5" s="12" t="s">
        <v>14</v>
      </c>
      <c r="AQ5" s="12" t="s">
        <v>15</v>
      </c>
      <c r="AR5" s="12" t="s">
        <v>16</v>
      </c>
      <c r="AS5" s="112" t="s">
        <v>36</v>
      </c>
      <c r="AT5" s="114" t="s">
        <v>6</v>
      </c>
      <c r="AU5" s="16" t="s">
        <v>12</v>
      </c>
      <c r="AV5" s="16" t="s">
        <v>13</v>
      </c>
      <c r="AW5" s="16" t="s">
        <v>14</v>
      </c>
      <c r="AX5" s="16" t="s">
        <v>15</v>
      </c>
      <c r="AY5" s="16" t="s">
        <v>16</v>
      </c>
      <c r="AZ5" s="110" t="s">
        <v>36</v>
      </c>
    </row>
    <row r="6" spans="1:65" s="22" customFormat="1" ht="25.5" customHeight="1" thickBot="1">
      <c r="A6" s="17"/>
      <c r="B6" s="18">
        <v>2</v>
      </c>
      <c r="C6" s="18"/>
      <c r="D6" s="19">
        <v>3</v>
      </c>
      <c r="E6" s="18"/>
      <c r="F6" s="18"/>
      <c r="G6" s="18"/>
      <c r="H6" s="18"/>
      <c r="I6" s="18"/>
      <c r="J6" s="18"/>
      <c r="K6" s="19">
        <v>4</v>
      </c>
      <c r="L6" s="20"/>
      <c r="M6" s="20"/>
      <c r="N6" s="20"/>
      <c r="O6" s="20"/>
      <c r="P6" s="20"/>
      <c r="Q6" s="20"/>
      <c r="R6" s="19">
        <v>5</v>
      </c>
      <c r="S6" s="20"/>
      <c r="T6" s="20"/>
      <c r="U6" s="20"/>
      <c r="V6" s="20"/>
      <c r="W6" s="20"/>
      <c r="X6" s="20"/>
      <c r="Y6" s="19">
        <v>6</v>
      </c>
      <c r="Z6" s="18"/>
      <c r="AA6" s="18"/>
      <c r="AB6" s="18"/>
      <c r="AC6" s="18"/>
      <c r="AD6" s="18"/>
      <c r="AE6" s="18"/>
      <c r="AF6" s="19">
        <v>7</v>
      </c>
      <c r="AG6" s="20"/>
      <c r="AH6" s="20"/>
      <c r="AI6" s="20"/>
      <c r="AJ6" s="20"/>
      <c r="AK6" s="20"/>
      <c r="AL6" s="20"/>
      <c r="AM6" s="19">
        <v>8</v>
      </c>
      <c r="AN6" s="20"/>
      <c r="AO6" s="20"/>
      <c r="AP6" s="20"/>
      <c r="AQ6" s="20"/>
      <c r="AR6" s="20"/>
      <c r="AS6" s="113"/>
      <c r="AT6" s="115">
        <v>9</v>
      </c>
      <c r="AU6" s="116"/>
      <c r="AV6" s="116"/>
      <c r="AW6" s="116"/>
      <c r="AX6" s="116"/>
      <c r="AY6" s="116"/>
      <c r="AZ6" s="117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</row>
    <row r="7" spans="1:65" s="29" customFormat="1" ht="43.5" customHeight="1" thickBot="1">
      <c r="A7" s="23">
        <v>1</v>
      </c>
      <c r="B7" s="24" t="s">
        <v>2</v>
      </c>
      <c r="C7" s="24" t="s">
        <v>4</v>
      </c>
      <c r="D7" s="25">
        <f aca="true" t="shared" si="0" ref="D7:J7">SUM(D8:D18)</f>
        <v>1.4662758393730435</v>
      </c>
      <c r="E7" s="25">
        <f t="shared" si="0"/>
        <v>0</v>
      </c>
      <c r="F7" s="25">
        <f t="shared" si="0"/>
        <v>0</v>
      </c>
      <c r="G7" s="25">
        <f t="shared" si="0"/>
        <v>1.4662758393730435</v>
      </c>
      <c r="H7" s="25">
        <f t="shared" si="0"/>
        <v>0</v>
      </c>
      <c r="I7" s="25">
        <f t="shared" si="0"/>
        <v>0</v>
      </c>
      <c r="J7" s="25">
        <f t="shared" si="0"/>
        <v>0</v>
      </c>
      <c r="K7" s="27">
        <f aca="true" t="shared" si="1" ref="K7:P7">R7/D7</f>
        <v>1306.63</v>
      </c>
      <c r="L7" s="27" t="e">
        <f t="shared" si="1"/>
        <v>#DIV/0!</v>
      </c>
      <c r="M7" s="27" t="e">
        <f t="shared" si="1"/>
        <v>#DIV/0!</v>
      </c>
      <c r="N7" s="27">
        <f t="shared" si="1"/>
        <v>1306.63</v>
      </c>
      <c r="O7" s="27" t="e">
        <f t="shared" si="1"/>
        <v>#DIV/0!</v>
      </c>
      <c r="P7" s="27" t="e">
        <f t="shared" si="1"/>
        <v>#DIV/0!</v>
      </c>
      <c r="Q7" s="27" t="e">
        <f>Y7/J7</f>
        <v>#DIV/0!</v>
      </c>
      <c r="R7" s="27">
        <f aca="true" t="shared" si="2" ref="R7:AE7">SUM(R8:R18)</f>
        <v>1915.88</v>
      </c>
      <c r="S7" s="27">
        <f t="shared" si="2"/>
        <v>0</v>
      </c>
      <c r="T7" s="27">
        <f t="shared" si="2"/>
        <v>0</v>
      </c>
      <c r="U7" s="27">
        <f t="shared" si="2"/>
        <v>1915.88</v>
      </c>
      <c r="V7" s="27">
        <f t="shared" si="2"/>
        <v>0</v>
      </c>
      <c r="W7" s="27">
        <f t="shared" si="2"/>
        <v>0</v>
      </c>
      <c r="X7" s="27">
        <f t="shared" si="2"/>
        <v>0</v>
      </c>
      <c r="Y7" s="59">
        <f t="shared" si="2"/>
        <v>1.4662758393730435</v>
      </c>
      <c r="Z7" s="59">
        <f t="shared" si="2"/>
        <v>0</v>
      </c>
      <c r="AA7" s="59">
        <f t="shared" si="2"/>
        <v>0</v>
      </c>
      <c r="AB7" s="59">
        <f t="shared" si="2"/>
        <v>1.4662758393730435</v>
      </c>
      <c r="AC7" s="59">
        <f t="shared" si="2"/>
        <v>0</v>
      </c>
      <c r="AD7" s="59">
        <f t="shared" si="2"/>
        <v>0</v>
      </c>
      <c r="AE7" s="59">
        <f t="shared" si="2"/>
        <v>0</v>
      </c>
      <c r="AF7" s="28">
        <f>AM7/Y7</f>
        <v>1306.63</v>
      </c>
      <c r="AG7" s="101" t="e">
        <f>AN7/Z7</f>
        <v>#DIV/0!</v>
      </c>
      <c r="AH7" s="101">
        <f>AH10</f>
        <v>1306.63</v>
      </c>
      <c r="AI7" s="101">
        <f>AI9</f>
        <v>1306.63</v>
      </c>
      <c r="AJ7" s="101">
        <f>AJ12</f>
        <v>1306.63</v>
      </c>
      <c r="AK7" s="27">
        <f>AK12</f>
        <v>1306.63</v>
      </c>
      <c r="AL7" s="27" t="e">
        <f>AS7/AE7</f>
        <v>#DIV/0!</v>
      </c>
      <c r="AM7" s="27">
        <f aca="true" t="shared" si="3" ref="AM7:AZ7">SUM(AM8:AM18)</f>
        <v>1915.88</v>
      </c>
      <c r="AN7" s="27">
        <f t="shared" si="3"/>
        <v>0</v>
      </c>
      <c r="AO7" s="27">
        <f t="shared" si="3"/>
        <v>0</v>
      </c>
      <c r="AP7" s="27">
        <f t="shared" si="3"/>
        <v>1915.88</v>
      </c>
      <c r="AQ7" s="27">
        <f t="shared" si="3"/>
        <v>0</v>
      </c>
      <c r="AR7" s="27">
        <f t="shared" si="3"/>
        <v>0</v>
      </c>
      <c r="AS7" s="27">
        <f t="shared" si="3"/>
        <v>0</v>
      </c>
      <c r="AT7" s="118">
        <f t="shared" si="3"/>
        <v>0</v>
      </c>
      <c r="AU7" s="27">
        <f t="shared" si="3"/>
        <v>0</v>
      </c>
      <c r="AV7" s="27">
        <f t="shared" si="3"/>
        <v>0</v>
      </c>
      <c r="AW7" s="27">
        <f t="shared" si="3"/>
        <v>0</v>
      </c>
      <c r="AX7" s="27">
        <f t="shared" si="3"/>
        <v>0</v>
      </c>
      <c r="AY7" s="27">
        <f t="shared" si="3"/>
        <v>0</v>
      </c>
      <c r="AZ7" s="27">
        <f t="shared" si="3"/>
        <v>0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</row>
    <row r="8" spans="1:52" ht="53.25" customHeight="1">
      <c r="A8" s="38"/>
      <c r="B8" s="47" t="s">
        <v>20</v>
      </c>
      <c r="C8" s="48"/>
      <c r="D8" s="49">
        <f aca="true" t="shared" si="4" ref="D8:D16">SUM(E8:I8)</f>
        <v>0</v>
      </c>
      <c r="E8" s="45">
        <f>S8/L8</f>
        <v>0</v>
      </c>
      <c r="F8" s="45"/>
      <c r="G8" s="45"/>
      <c r="H8" s="45"/>
      <c r="I8" s="45"/>
      <c r="J8" s="45"/>
      <c r="K8" s="14" t="e">
        <f aca="true" t="shared" si="5" ref="K8:K22">R8/D8</f>
        <v>#DIV/0!</v>
      </c>
      <c r="L8" s="13">
        <v>5148.06</v>
      </c>
      <c r="M8" s="37"/>
      <c r="N8" s="37"/>
      <c r="O8" s="37"/>
      <c r="P8" s="50"/>
      <c r="Q8" s="13"/>
      <c r="R8" s="15">
        <f aca="true" t="shared" si="6" ref="R8:R16">SUM(S8:W8)</f>
        <v>0</v>
      </c>
      <c r="S8" s="50"/>
      <c r="T8" s="50"/>
      <c r="U8" s="50"/>
      <c r="V8" s="50"/>
      <c r="W8" s="50"/>
      <c r="X8" s="13"/>
      <c r="Y8" s="67">
        <f aca="true" t="shared" si="7" ref="Y8:Y16">SUM(Z8:AD8)</f>
        <v>0</v>
      </c>
      <c r="Z8" s="97">
        <f>AN8/AG8</f>
        <v>0</v>
      </c>
      <c r="AA8" s="97"/>
      <c r="AB8" s="97"/>
      <c r="AC8" s="97"/>
      <c r="AD8" s="97"/>
      <c r="AE8" s="97"/>
      <c r="AF8" s="14">
        <f>AG8</f>
        <v>1393.74</v>
      </c>
      <c r="AG8" s="13">
        <v>1393.74</v>
      </c>
      <c r="AH8" s="13"/>
      <c r="AI8" s="13"/>
      <c r="AJ8" s="13"/>
      <c r="AK8" s="13"/>
      <c r="AL8" s="37"/>
      <c r="AM8" s="15">
        <f aca="true" t="shared" si="8" ref="AM8:AM16">SUM(AN8:AR8)</f>
        <v>0</v>
      </c>
      <c r="AN8" s="50"/>
      <c r="AO8" s="50"/>
      <c r="AP8" s="50"/>
      <c r="AQ8" s="50"/>
      <c r="AR8" s="50"/>
      <c r="AS8" s="13"/>
      <c r="AT8" s="15">
        <f aca="true" t="shared" si="9" ref="AT8:AT16">SUM(AU8:AY8)</f>
        <v>0</v>
      </c>
      <c r="AU8" s="37">
        <f>(L8-AG8)*E8</f>
        <v>0</v>
      </c>
      <c r="AV8" s="37"/>
      <c r="AW8" s="37"/>
      <c r="AX8" s="37"/>
      <c r="AY8" s="37"/>
      <c r="AZ8" s="13"/>
    </row>
    <row r="9" spans="1:52" ht="53.25" customHeight="1">
      <c r="A9" s="38"/>
      <c r="B9" s="47" t="s">
        <v>21</v>
      </c>
      <c r="C9" s="48"/>
      <c r="D9" s="51">
        <f t="shared" si="4"/>
        <v>0</v>
      </c>
      <c r="E9" s="45"/>
      <c r="F9" s="45"/>
      <c r="G9" s="52">
        <f>U9/N9</f>
        <v>0</v>
      </c>
      <c r="H9" s="45"/>
      <c r="I9" s="45"/>
      <c r="J9" s="45"/>
      <c r="K9" s="14" t="e">
        <f t="shared" si="5"/>
        <v>#DIV/0!</v>
      </c>
      <c r="L9" s="13"/>
      <c r="M9" s="37"/>
      <c r="N9" s="37">
        <v>4406.88</v>
      </c>
      <c r="O9" s="53"/>
      <c r="P9" s="50"/>
      <c r="Q9" s="13"/>
      <c r="R9" s="15">
        <f t="shared" si="6"/>
        <v>0</v>
      </c>
      <c r="S9" s="50"/>
      <c r="T9" s="50"/>
      <c r="U9" s="50"/>
      <c r="V9" s="50"/>
      <c r="W9" s="50"/>
      <c r="X9" s="13"/>
      <c r="Y9" s="67">
        <f t="shared" si="7"/>
        <v>0</v>
      </c>
      <c r="Z9" s="97"/>
      <c r="AA9" s="97"/>
      <c r="AB9" s="97">
        <f>AP9/AI9</f>
        <v>0</v>
      </c>
      <c r="AC9" s="97"/>
      <c r="AD9" s="97"/>
      <c r="AE9" s="97"/>
      <c r="AF9" s="14">
        <f>AI9</f>
        <v>1306.63</v>
      </c>
      <c r="AG9" s="13"/>
      <c r="AH9" s="13"/>
      <c r="AI9" s="13">
        <v>1306.63</v>
      </c>
      <c r="AJ9" s="13"/>
      <c r="AK9" s="13"/>
      <c r="AL9" s="37"/>
      <c r="AM9" s="15">
        <f t="shared" si="8"/>
        <v>0</v>
      </c>
      <c r="AN9" s="50"/>
      <c r="AO9" s="50"/>
      <c r="AP9" s="50"/>
      <c r="AQ9" s="50"/>
      <c r="AR9" s="50"/>
      <c r="AS9" s="13"/>
      <c r="AT9" s="15">
        <f t="shared" si="9"/>
        <v>0</v>
      </c>
      <c r="AU9" s="37"/>
      <c r="AV9" s="37"/>
      <c r="AW9" s="37">
        <f>(N9-AI9)*G9</f>
        <v>0</v>
      </c>
      <c r="AX9" s="37"/>
      <c r="AY9" s="37"/>
      <c r="AZ9" s="13"/>
    </row>
    <row r="10" spans="1:52" ht="54.75" customHeight="1">
      <c r="A10" s="40"/>
      <c r="B10" s="54" t="s">
        <v>43</v>
      </c>
      <c r="C10" s="40"/>
      <c r="D10" s="49">
        <f t="shared" si="4"/>
        <v>0</v>
      </c>
      <c r="E10" s="45"/>
      <c r="F10" s="45">
        <f>T10/M10</f>
        <v>0</v>
      </c>
      <c r="G10" s="45"/>
      <c r="H10" s="45"/>
      <c r="I10" s="45"/>
      <c r="J10" s="45"/>
      <c r="K10" s="14" t="e">
        <f t="shared" si="5"/>
        <v>#DIV/0!</v>
      </c>
      <c r="L10" s="13"/>
      <c r="M10" s="37">
        <v>1762.7</v>
      </c>
      <c r="N10" s="37"/>
      <c r="O10" s="37"/>
      <c r="P10" s="13"/>
      <c r="Q10" s="37"/>
      <c r="R10" s="15">
        <f t="shared" si="6"/>
        <v>0</v>
      </c>
      <c r="S10" s="13"/>
      <c r="T10" s="13"/>
      <c r="U10" s="13"/>
      <c r="V10" s="13"/>
      <c r="W10" s="13"/>
      <c r="X10" s="37"/>
      <c r="Y10" s="67">
        <f t="shared" si="7"/>
        <v>0</v>
      </c>
      <c r="Z10" s="97"/>
      <c r="AA10" s="97">
        <f>AO10/AH10</f>
        <v>0</v>
      </c>
      <c r="AB10" s="97"/>
      <c r="AC10" s="97"/>
      <c r="AD10" s="97"/>
      <c r="AE10" s="97"/>
      <c r="AF10" s="14">
        <f>AH10</f>
        <v>1306.63</v>
      </c>
      <c r="AG10" s="13"/>
      <c r="AH10" s="13">
        <v>1306.63</v>
      </c>
      <c r="AI10" s="13"/>
      <c r="AJ10" s="13"/>
      <c r="AK10" s="13"/>
      <c r="AL10" s="37"/>
      <c r="AM10" s="15">
        <f t="shared" si="8"/>
        <v>0</v>
      </c>
      <c r="AN10" s="13"/>
      <c r="AO10" s="13"/>
      <c r="AP10" s="13"/>
      <c r="AQ10" s="13"/>
      <c r="AR10" s="13"/>
      <c r="AS10" s="13"/>
      <c r="AT10" s="15">
        <f t="shared" si="9"/>
        <v>0</v>
      </c>
      <c r="AU10" s="37"/>
      <c r="AV10" s="37">
        <f>(M10-AH10)*F10</f>
        <v>0</v>
      </c>
      <c r="AW10" s="37"/>
      <c r="AX10" s="37"/>
      <c r="AY10" s="37"/>
      <c r="AZ10" s="13"/>
    </row>
    <row r="11" spans="1:52" ht="42" customHeight="1">
      <c r="A11" s="40"/>
      <c r="B11" s="54" t="s">
        <v>22</v>
      </c>
      <c r="C11" s="40"/>
      <c r="D11" s="41">
        <f t="shared" si="4"/>
        <v>0</v>
      </c>
      <c r="E11" s="42"/>
      <c r="F11" s="42"/>
      <c r="G11" s="42">
        <f>U11/N11</f>
        <v>0</v>
      </c>
      <c r="H11" s="42"/>
      <c r="I11" s="42"/>
      <c r="J11" s="42"/>
      <c r="K11" s="14" t="e">
        <f t="shared" si="5"/>
        <v>#DIV/0!</v>
      </c>
      <c r="L11" s="13"/>
      <c r="M11" s="13"/>
      <c r="N11" s="13">
        <v>1598.53</v>
      </c>
      <c r="O11" s="13"/>
      <c r="P11" s="13"/>
      <c r="Q11" s="13"/>
      <c r="R11" s="14">
        <f t="shared" si="6"/>
        <v>0</v>
      </c>
      <c r="S11" s="13"/>
      <c r="T11" s="13"/>
      <c r="U11" s="13"/>
      <c r="V11" s="13"/>
      <c r="W11" s="13"/>
      <c r="X11" s="13"/>
      <c r="Y11" s="64">
        <f t="shared" si="7"/>
        <v>0</v>
      </c>
      <c r="Z11" s="65"/>
      <c r="AA11" s="65"/>
      <c r="AB11" s="65">
        <f>AP11/AI11</f>
        <v>0</v>
      </c>
      <c r="AC11" s="65"/>
      <c r="AD11" s="65"/>
      <c r="AE11" s="65"/>
      <c r="AF11" s="14">
        <f>AI11</f>
        <v>1306.63</v>
      </c>
      <c r="AG11" s="13"/>
      <c r="AH11" s="13"/>
      <c r="AI11" s="13">
        <v>1306.63</v>
      </c>
      <c r="AJ11" s="13"/>
      <c r="AK11" s="13"/>
      <c r="AL11" s="13"/>
      <c r="AM11" s="14">
        <f t="shared" si="8"/>
        <v>0</v>
      </c>
      <c r="AN11" s="13"/>
      <c r="AO11" s="13"/>
      <c r="AP11" s="13"/>
      <c r="AQ11" s="13"/>
      <c r="AR11" s="13"/>
      <c r="AS11" s="13"/>
      <c r="AT11" s="14">
        <f t="shared" si="9"/>
        <v>0</v>
      </c>
      <c r="AU11" s="37"/>
      <c r="AV11" s="37"/>
      <c r="AW11" s="37">
        <f>(N11-AI11)*G11</f>
        <v>0</v>
      </c>
      <c r="AX11" s="37"/>
      <c r="AY11" s="37"/>
      <c r="AZ11" s="13"/>
    </row>
    <row r="12" spans="1:52" ht="33" customHeight="1">
      <c r="A12" s="30"/>
      <c r="B12" s="31" t="s">
        <v>17</v>
      </c>
      <c r="C12" s="32"/>
      <c r="D12" s="33">
        <f t="shared" si="4"/>
        <v>0</v>
      </c>
      <c r="E12" s="34">
        <f>S12/L12</f>
        <v>0</v>
      </c>
      <c r="F12" s="34">
        <f>T12/M12</f>
        <v>0</v>
      </c>
      <c r="G12" s="34">
        <f>U12/N12</f>
        <v>0</v>
      </c>
      <c r="H12" s="34">
        <f>V12/O12</f>
        <v>0</v>
      </c>
      <c r="I12" s="34">
        <f>W12/P12</f>
        <v>0</v>
      </c>
      <c r="J12" s="34"/>
      <c r="K12" s="35" t="e">
        <f t="shared" si="5"/>
        <v>#DIV/0!</v>
      </c>
      <c r="L12" s="36">
        <v>2700.1</v>
      </c>
      <c r="M12" s="36">
        <f>L12</f>
        <v>2700.1</v>
      </c>
      <c r="N12" s="36">
        <f>L12</f>
        <v>2700.1</v>
      </c>
      <c r="O12" s="36">
        <f>L12</f>
        <v>2700.1</v>
      </c>
      <c r="P12" s="36">
        <f>L12</f>
        <v>2700.1</v>
      </c>
      <c r="Q12" s="36"/>
      <c r="R12" s="35">
        <f t="shared" si="6"/>
        <v>0</v>
      </c>
      <c r="S12" s="36"/>
      <c r="T12" s="36"/>
      <c r="U12" s="36"/>
      <c r="V12" s="36"/>
      <c r="W12" s="36"/>
      <c r="X12" s="36"/>
      <c r="Y12" s="62">
        <f t="shared" si="7"/>
        <v>0</v>
      </c>
      <c r="Z12" s="34">
        <f>AN12/AG12</f>
        <v>0</v>
      </c>
      <c r="AA12" s="34">
        <f>AO12/AH12</f>
        <v>0</v>
      </c>
      <c r="AB12" s="34">
        <f>AP12/AI12</f>
        <v>0</v>
      </c>
      <c r="AC12" s="34">
        <f>AQ12/AJ12</f>
        <v>0</v>
      </c>
      <c r="AD12" s="34">
        <f>AR12/AK12</f>
        <v>0</v>
      </c>
      <c r="AE12" s="34"/>
      <c r="AF12" s="15">
        <f>AG12</f>
        <v>1306.63</v>
      </c>
      <c r="AG12" s="37">
        <v>1306.63</v>
      </c>
      <c r="AH12" s="37">
        <f>AG12</f>
        <v>1306.63</v>
      </c>
      <c r="AI12" s="37">
        <f>AH12</f>
        <v>1306.63</v>
      </c>
      <c r="AJ12" s="37">
        <f>AI12</f>
        <v>1306.63</v>
      </c>
      <c r="AK12" s="37">
        <f>AJ12</f>
        <v>1306.63</v>
      </c>
      <c r="AL12" s="36"/>
      <c r="AM12" s="35">
        <f t="shared" si="8"/>
        <v>0</v>
      </c>
      <c r="AN12" s="36"/>
      <c r="AO12" s="36"/>
      <c r="AP12" s="36"/>
      <c r="AQ12" s="36"/>
      <c r="AR12" s="36"/>
      <c r="AS12" s="36"/>
      <c r="AT12" s="35">
        <f t="shared" si="9"/>
        <v>0</v>
      </c>
      <c r="AU12" s="37">
        <f>(L12-AG12)*E12</f>
        <v>0</v>
      </c>
      <c r="AV12" s="37">
        <f>(M12-AH12)*F12</f>
        <v>0</v>
      </c>
      <c r="AW12" s="37">
        <f>(N12-AI12)*G12</f>
        <v>0</v>
      </c>
      <c r="AX12" s="37">
        <f>(O12-AJ12)*H12</f>
        <v>0</v>
      </c>
      <c r="AY12" s="37">
        <f>(P12-AK12)*I12</f>
        <v>0</v>
      </c>
      <c r="AZ12" s="37"/>
    </row>
    <row r="13" spans="1:52" ht="63.75" customHeight="1">
      <c r="A13" s="38"/>
      <c r="B13" s="39" t="s">
        <v>42</v>
      </c>
      <c r="C13" s="40"/>
      <c r="D13" s="41">
        <f t="shared" si="4"/>
        <v>0</v>
      </c>
      <c r="E13" s="42"/>
      <c r="F13" s="42"/>
      <c r="G13" s="42"/>
      <c r="H13" s="42"/>
      <c r="I13" s="42">
        <f>W13/P13</f>
        <v>0</v>
      </c>
      <c r="J13" s="42"/>
      <c r="K13" s="14" t="e">
        <f t="shared" si="5"/>
        <v>#DIV/0!</v>
      </c>
      <c r="L13" s="13"/>
      <c r="M13" s="13"/>
      <c r="N13" s="13"/>
      <c r="O13" s="13"/>
      <c r="P13" s="13">
        <v>2643.09</v>
      </c>
      <c r="Q13" s="13"/>
      <c r="R13" s="14">
        <f t="shared" si="6"/>
        <v>0</v>
      </c>
      <c r="S13" s="13"/>
      <c r="T13" s="13"/>
      <c r="U13" s="13"/>
      <c r="V13" s="13"/>
      <c r="W13" s="13"/>
      <c r="X13" s="13"/>
      <c r="Y13" s="64">
        <f t="shared" si="7"/>
        <v>0</v>
      </c>
      <c r="Z13" s="65"/>
      <c r="AA13" s="65"/>
      <c r="AB13" s="65"/>
      <c r="AC13" s="65"/>
      <c r="AD13" s="65">
        <f>AR13/AK13</f>
        <v>0</v>
      </c>
      <c r="AE13" s="65"/>
      <c r="AF13" s="14">
        <f>AK13</f>
        <v>1306.63</v>
      </c>
      <c r="AG13" s="13"/>
      <c r="AH13" s="13"/>
      <c r="AI13" s="13"/>
      <c r="AJ13" s="13"/>
      <c r="AK13" s="13">
        <v>1306.63</v>
      </c>
      <c r="AL13" s="13"/>
      <c r="AM13" s="14">
        <f t="shared" si="8"/>
        <v>0</v>
      </c>
      <c r="AN13" s="13"/>
      <c r="AO13" s="13"/>
      <c r="AP13" s="13"/>
      <c r="AQ13" s="13"/>
      <c r="AR13" s="13"/>
      <c r="AS13" s="13"/>
      <c r="AT13" s="14">
        <f t="shared" si="9"/>
        <v>0</v>
      </c>
      <c r="AU13" s="37"/>
      <c r="AV13" s="37"/>
      <c r="AW13" s="37"/>
      <c r="AX13" s="37"/>
      <c r="AY13" s="37">
        <f>(P13-AK13)*I13</f>
        <v>0</v>
      </c>
      <c r="AZ13" s="13"/>
    </row>
    <row r="14" spans="1:52" ht="37.5" customHeight="1">
      <c r="A14" s="38"/>
      <c r="B14" s="54" t="s">
        <v>23</v>
      </c>
      <c r="C14" s="40"/>
      <c r="D14" s="51">
        <f t="shared" si="4"/>
        <v>0</v>
      </c>
      <c r="E14" s="45"/>
      <c r="F14" s="52">
        <f>T14/M14</f>
        <v>0</v>
      </c>
      <c r="G14" s="45"/>
      <c r="H14" s="45"/>
      <c r="I14" s="45"/>
      <c r="J14" s="45"/>
      <c r="K14" s="14" t="e">
        <f t="shared" si="5"/>
        <v>#DIV/0!</v>
      </c>
      <c r="L14" s="13"/>
      <c r="M14" s="37">
        <v>1725.25</v>
      </c>
      <c r="N14" s="37"/>
      <c r="O14" s="37"/>
      <c r="P14" s="13"/>
      <c r="Q14" s="37"/>
      <c r="R14" s="15">
        <f t="shared" si="6"/>
        <v>0</v>
      </c>
      <c r="S14" s="13"/>
      <c r="T14" s="13"/>
      <c r="U14" s="13"/>
      <c r="V14" s="13"/>
      <c r="W14" s="13"/>
      <c r="X14" s="13"/>
      <c r="Y14" s="67">
        <f t="shared" si="7"/>
        <v>0</v>
      </c>
      <c r="Z14" s="97"/>
      <c r="AA14" s="97">
        <f>AO14/AH14</f>
        <v>0</v>
      </c>
      <c r="AB14" s="97"/>
      <c r="AC14" s="97"/>
      <c r="AD14" s="97"/>
      <c r="AE14" s="97"/>
      <c r="AF14" s="14">
        <f>AH14</f>
        <v>1306.63</v>
      </c>
      <c r="AG14" s="13"/>
      <c r="AH14" s="13">
        <v>1306.63</v>
      </c>
      <c r="AI14" s="13"/>
      <c r="AJ14" s="13"/>
      <c r="AK14" s="13"/>
      <c r="AL14" s="37"/>
      <c r="AM14" s="15">
        <f t="shared" si="8"/>
        <v>0</v>
      </c>
      <c r="AN14" s="13"/>
      <c r="AO14" s="13"/>
      <c r="AP14" s="13"/>
      <c r="AQ14" s="13"/>
      <c r="AR14" s="13"/>
      <c r="AS14" s="13"/>
      <c r="AT14" s="15">
        <f t="shared" si="9"/>
        <v>0</v>
      </c>
      <c r="AU14" s="37"/>
      <c r="AV14" s="37">
        <f>(M14-AH14)*F14</f>
        <v>0</v>
      </c>
      <c r="AW14" s="37"/>
      <c r="AX14" s="37"/>
      <c r="AY14" s="37"/>
      <c r="AZ14" s="13"/>
    </row>
    <row r="15" spans="1:52" ht="35.25" customHeight="1">
      <c r="A15" s="38"/>
      <c r="B15" s="39" t="s">
        <v>18</v>
      </c>
      <c r="C15" s="40"/>
      <c r="D15" s="75">
        <f t="shared" si="4"/>
        <v>1.4662758393730435</v>
      </c>
      <c r="E15" s="42"/>
      <c r="F15" s="42"/>
      <c r="G15" s="76">
        <f>U15/N15</f>
        <v>1.4662758393730435</v>
      </c>
      <c r="H15" s="42"/>
      <c r="I15" s="42"/>
      <c r="J15" s="42"/>
      <c r="K15" s="14">
        <f t="shared" si="5"/>
        <v>1306.63</v>
      </c>
      <c r="L15" s="13"/>
      <c r="M15" s="13"/>
      <c r="N15" s="13">
        <v>1306.63</v>
      </c>
      <c r="O15" s="13"/>
      <c r="P15" s="13"/>
      <c r="Q15" s="13"/>
      <c r="R15" s="14">
        <f t="shared" si="6"/>
        <v>1915.88</v>
      </c>
      <c r="S15" s="13"/>
      <c r="T15" s="13"/>
      <c r="U15" s="13">
        <v>1915.88</v>
      </c>
      <c r="V15" s="13"/>
      <c r="W15" s="13"/>
      <c r="X15" s="13"/>
      <c r="Y15" s="64">
        <f t="shared" si="7"/>
        <v>1.4662758393730435</v>
      </c>
      <c r="Z15" s="65"/>
      <c r="AA15" s="65"/>
      <c r="AB15" s="65">
        <f>AP15/AI15</f>
        <v>1.4662758393730435</v>
      </c>
      <c r="AC15" s="65"/>
      <c r="AD15" s="65"/>
      <c r="AE15" s="65"/>
      <c r="AF15" s="14">
        <f>AI15</f>
        <v>1306.63</v>
      </c>
      <c r="AG15" s="13"/>
      <c r="AH15" s="13"/>
      <c r="AI15" s="13">
        <v>1306.63</v>
      </c>
      <c r="AJ15" s="13"/>
      <c r="AK15" s="13"/>
      <c r="AL15" s="13"/>
      <c r="AM15" s="14">
        <f t="shared" si="8"/>
        <v>1915.88</v>
      </c>
      <c r="AN15" s="13"/>
      <c r="AO15" s="13"/>
      <c r="AP15" s="13">
        <v>1915.88</v>
      </c>
      <c r="AQ15" s="13"/>
      <c r="AR15" s="13"/>
      <c r="AS15" s="13"/>
      <c r="AT15" s="14">
        <f t="shared" si="9"/>
        <v>0</v>
      </c>
      <c r="AU15" s="37"/>
      <c r="AV15" s="37"/>
      <c r="AW15" s="37">
        <f>(N15-AI15)*G15</f>
        <v>0</v>
      </c>
      <c r="AX15" s="37"/>
      <c r="AY15" s="37"/>
      <c r="AZ15" s="13"/>
    </row>
    <row r="16" spans="1:52" ht="56.25" customHeight="1">
      <c r="A16" s="9"/>
      <c r="B16" s="43" t="s">
        <v>41</v>
      </c>
      <c r="C16" s="32"/>
      <c r="D16" s="44">
        <f t="shared" si="4"/>
        <v>0</v>
      </c>
      <c r="E16" s="45"/>
      <c r="F16" s="46">
        <f>T16/M16</f>
        <v>0</v>
      </c>
      <c r="G16" s="45"/>
      <c r="H16" s="45"/>
      <c r="I16" s="45"/>
      <c r="J16" s="45"/>
      <c r="K16" s="14" t="e">
        <f t="shared" si="5"/>
        <v>#DIV/0!</v>
      </c>
      <c r="L16" s="36"/>
      <c r="M16" s="37">
        <v>1658.95</v>
      </c>
      <c r="N16" s="37"/>
      <c r="O16" s="37"/>
      <c r="P16" s="36"/>
      <c r="Q16" s="13"/>
      <c r="R16" s="15">
        <f t="shared" si="6"/>
        <v>0</v>
      </c>
      <c r="S16" s="36"/>
      <c r="T16" s="36"/>
      <c r="U16" s="36"/>
      <c r="V16" s="36"/>
      <c r="W16" s="36"/>
      <c r="X16" s="36"/>
      <c r="Y16" s="67">
        <f t="shared" si="7"/>
        <v>0</v>
      </c>
      <c r="Z16" s="97"/>
      <c r="AA16" s="97">
        <f>AO16/AH16</f>
        <v>0</v>
      </c>
      <c r="AB16" s="97"/>
      <c r="AC16" s="97"/>
      <c r="AD16" s="97"/>
      <c r="AE16" s="97"/>
      <c r="AF16" s="14">
        <f>AH16</f>
        <v>1306.63</v>
      </c>
      <c r="AG16" s="13"/>
      <c r="AH16" s="13">
        <v>1306.63</v>
      </c>
      <c r="AI16" s="13"/>
      <c r="AJ16" s="13"/>
      <c r="AK16" s="13"/>
      <c r="AL16" s="37"/>
      <c r="AM16" s="15">
        <f t="shared" si="8"/>
        <v>0</v>
      </c>
      <c r="AN16" s="36"/>
      <c r="AO16" s="36"/>
      <c r="AP16" s="36"/>
      <c r="AQ16" s="36"/>
      <c r="AR16" s="36"/>
      <c r="AS16" s="13"/>
      <c r="AT16" s="15">
        <f t="shared" si="9"/>
        <v>0</v>
      </c>
      <c r="AU16" s="37"/>
      <c r="AV16" s="37">
        <f>(M16-AH16)*F16</f>
        <v>0</v>
      </c>
      <c r="AW16" s="37"/>
      <c r="AX16" s="37"/>
      <c r="AY16" s="37"/>
      <c r="AZ16" s="13"/>
    </row>
    <row r="17" spans="1:52" ht="58.5" customHeight="1">
      <c r="A17" s="38">
        <v>36</v>
      </c>
      <c r="B17" s="39" t="s">
        <v>37</v>
      </c>
      <c r="C17" s="106"/>
      <c r="D17" s="75">
        <f>SUM(E17:J17)</f>
        <v>0</v>
      </c>
      <c r="E17" s="42"/>
      <c r="F17" s="42"/>
      <c r="G17" s="76"/>
      <c r="H17" s="42"/>
      <c r="I17" s="107"/>
      <c r="J17" s="76">
        <f>X17/Q17</f>
        <v>0</v>
      </c>
      <c r="K17" s="14" t="e">
        <f t="shared" si="5"/>
        <v>#DIV/0!</v>
      </c>
      <c r="L17" s="108"/>
      <c r="M17" s="13"/>
      <c r="N17" s="13"/>
      <c r="O17" s="13"/>
      <c r="P17" s="13"/>
      <c r="Q17" s="13">
        <v>1163.85</v>
      </c>
      <c r="R17" s="14">
        <f>SUM(S17:X17)</f>
        <v>0</v>
      </c>
      <c r="S17" s="13"/>
      <c r="T17" s="13"/>
      <c r="U17" s="13"/>
      <c r="V17" s="13"/>
      <c r="W17" s="13"/>
      <c r="X17" s="13"/>
      <c r="Y17" s="64">
        <f>AE17</f>
        <v>0</v>
      </c>
      <c r="Z17" s="65"/>
      <c r="AA17" s="65"/>
      <c r="AB17" s="65"/>
      <c r="AC17" s="65"/>
      <c r="AD17" s="65"/>
      <c r="AE17" s="65">
        <f>AS17/AL17</f>
        <v>0</v>
      </c>
      <c r="AF17" s="14">
        <f>AL17</f>
        <v>1200</v>
      </c>
      <c r="AG17" s="13"/>
      <c r="AH17" s="13"/>
      <c r="AI17" s="13"/>
      <c r="AJ17" s="13"/>
      <c r="AK17" s="109"/>
      <c r="AL17" s="109">
        <v>1200</v>
      </c>
      <c r="AM17" s="14">
        <f>AS17</f>
        <v>0</v>
      </c>
      <c r="AN17" s="13"/>
      <c r="AO17" s="13"/>
      <c r="AP17" s="13"/>
      <c r="AQ17" s="13"/>
      <c r="AR17" s="13"/>
      <c r="AS17" s="13"/>
      <c r="AT17" s="14">
        <f>SUM(AU17:AZ17)</f>
        <v>0</v>
      </c>
      <c r="AU17" s="13"/>
      <c r="AV17" s="13"/>
      <c r="AW17" s="13"/>
      <c r="AX17" s="13"/>
      <c r="AY17" s="13"/>
      <c r="AZ17" s="37">
        <f>(Q17-AL17)*J17</f>
        <v>0</v>
      </c>
    </row>
    <row r="18" spans="1:52" ht="88.5" customHeight="1" thickBot="1">
      <c r="A18" s="30"/>
      <c r="B18" s="31" t="s">
        <v>38</v>
      </c>
      <c r="D18" s="75">
        <f>SUM(E18:J18)</f>
        <v>0</v>
      </c>
      <c r="E18" s="56"/>
      <c r="F18" s="56"/>
      <c r="G18" s="102"/>
      <c r="H18" s="56"/>
      <c r="I18" s="103"/>
      <c r="J18" s="76">
        <f>X18/Q18</f>
        <v>0</v>
      </c>
      <c r="K18" s="14" t="e">
        <f t="shared" si="5"/>
        <v>#DIV/0!</v>
      </c>
      <c r="L18" s="104"/>
      <c r="M18" s="36"/>
      <c r="N18" s="36"/>
      <c r="O18" s="36"/>
      <c r="P18" s="36"/>
      <c r="Q18" s="36">
        <v>1535.81</v>
      </c>
      <c r="R18" s="14">
        <f>SUM(S18:X18)</f>
        <v>0</v>
      </c>
      <c r="S18" s="36"/>
      <c r="T18" s="36"/>
      <c r="U18" s="36"/>
      <c r="V18" s="36"/>
      <c r="W18" s="36"/>
      <c r="X18" s="36"/>
      <c r="Y18" s="62">
        <f>AE18</f>
        <v>0</v>
      </c>
      <c r="Z18" s="34"/>
      <c r="AA18" s="34"/>
      <c r="AB18" s="34"/>
      <c r="AC18" s="34"/>
      <c r="AD18" s="34"/>
      <c r="AE18" s="65">
        <f>AS18/AL18</f>
        <v>0</v>
      </c>
      <c r="AF18" s="35">
        <f>AL18</f>
        <v>1163.85</v>
      </c>
      <c r="AG18" s="36"/>
      <c r="AH18" s="36"/>
      <c r="AI18" s="36"/>
      <c r="AJ18" s="36"/>
      <c r="AK18" s="105"/>
      <c r="AL18" s="105">
        <v>1163.85</v>
      </c>
      <c r="AM18" s="35">
        <f>AS18</f>
        <v>0</v>
      </c>
      <c r="AN18" s="36"/>
      <c r="AO18" s="36"/>
      <c r="AP18" s="36"/>
      <c r="AQ18" s="36"/>
      <c r="AR18" s="36"/>
      <c r="AS18" s="36"/>
      <c r="AT18" s="57">
        <f>SUM(AU18:AZ18)</f>
        <v>0</v>
      </c>
      <c r="AU18" s="50"/>
      <c r="AV18" s="50"/>
      <c r="AW18" s="50"/>
      <c r="AX18" s="50"/>
      <c r="AY18" s="50"/>
      <c r="AZ18" s="37">
        <f>(Q18-AL18)*J18</f>
        <v>0</v>
      </c>
    </row>
    <row r="19" spans="1:65" s="29" customFormat="1" ht="43.5" customHeight="1" thickBot="1">
      <c r="A19" s="23">
        <v>2</v>
      </c>
      <c r="B19" s="24" t="s">
        <v>0</v>
      </c>
      <c r="C19" s="58" t="s">
        <v>5</v>
      </c>
      <c r="D19" s="25">
        <f aca="true" t="shared" si="10" ref="D19:J19">SUM(D20:D26)</f>
        <v>13394.236399999998</v>
      </c>
      <c r="E19" s="141">
        <f t="shared" si="10"/>
        <v>364.6119</v>
      </c>
      <c r="F19" s="141">
        <f t="shared" si="10"/>
        <v>9352.15</v>
      </c>
      <c r="G19" s="141">
        <f t="shared" si="10"/>
        <v>1999.4406</v>
      </c>
      <c r="H19" s="141">
        <f t="shared" si="10"/>
        <v>0</v>
      </c>
      <c r="I19" s="141">
        <f t="shared" si="10"/>
        <v>1599.8549</v>
      </c>
      <c r="J19" s="141">
        <f t="shared" si="10"/>
        <v>78.179</v>
      </c>
      <c r="K19" s="27">
        <f t="shared" si="5"/>
        <v>99.93303612291031</v>
      </c>
      <c r="L19" s="61">
        <f>L22</f>
        <v>91.01587194493652</v>
      </c>
      <c r="M19" s="27">
        <f>T19/F19</f>
        <v>102.42908956763952</v>
      </c>
      <c r="N19" s="27">
        <f>U19/G19</f>
        <v>95.08120921421722</v>
      </c>
      <c r="O19" s="27">
        <f>O22</f>
        <v>90.44</v>
      </c>
      <c r="P19" s="27">
        <f>W19/I19</f>
        <v>93.7936496616037</v>
      </c>
      <c r="Q19" s="27">
        <f>Q26</f>
        <v>92.65</v>
      </c>
      <c r="R19" s="27">
        <f aca="true" t="shared" si="11" ref="R19:AE19">SUM(R20:R26)</f>
        <v>1338526.71</v>
      </c>
      <c r="S19" s="27">
        <f t="shared" si="11"/>
        <v>33185.47</v>
      </c>
      <c r="T19" s="27">
        <f t="shared" si="11"/>
        <v>957932.21</v>
      </c>
      <c r="U19" s="27">
        <f t="shared" si="11"/>
        <v>190109.23</v>
      </c>
      <c r="V19" s="27">
        <f t="shared" si="11"/>
        <v>0</v>
      </c>
      <c r="W19" s="27">
        <f t="shared" si="11"/>
        <v>150056.23</v>
      </c>
      <c r="X19" s="27">
        <f t="shared" si="11"/>
        <v>7243.57</v>
      </c>
      <c r="Y19" s="59">
        <f t="shared" si="11"/>
        <v>13508.373798905526</v>
      </c>
      <c r="Z19" s="59">
        <f t="shared" si="11"/>
        <v>364.61191077903527</v>
      </c>
      <c r="AA19" s="59">
        <f t="shared" si="11"/>
        <v>9370.019206156892</v>
      </c>
      <c r="AB19" s="59">
        <f t="shared" si="11"/>
        <v>2130.284785182607</v>
      </c>
      <c r="AC19" s="59">
        <f t="shared" si="11"/>
        <v>-0.0011057054400707652</v>
      </c>
      <c r="AD19" s="59">
        <f t="shared" si="11"/>
        <v>1565.2800687561926</v>
      </c>
      <c r="AE19" s="59">
        <f t="shared" si="11"/>
        <v>78.17893373624003</v>
      </c>
      <c r="AF19" s="28">
        <f>AM19/Y19</f>
        <v>99.81516872958055</v>
      </c>
      <c r="AG19" s="101">
        <f>AG22</f>
        <v>91.01</v>
      </c>
      <c r="AH19" s="101">
        <f>AO19/AA19</f>
        <v>102.42282634483756</v>
      </c>
      <c r="AI19" s="101">
        <f>AP19/AB19</f>
        <v>95.02951033030402</v>
      </c>
      <c r="AJ19" s="101">
        <f>AJ22</f>
        <v>90.44</v>
      </c>
      <c r="AK19" s="27">
        <f>AR19/AD19</f>
        <v>93.12681666983201</v>
      </c>
      <c r="AL19" s="27">
        <f>AL26</f>
        <v>92.66</v>
      </c>
      <c r="AM19" s="27">
        <f aca="true" t="shared" si="12" ref="AM19:AZ19">SUM(AM20:AM26)</f>
        <v>1348340.61</v>
      </c>
      <c r="AN19" s="27">
        <f t="shared" si="12"/>
        <v>33183.33</v>
      </c>
      <c r="AO19" s="27">
        <f t="shared" si="12"/>
        <v>959703.8500000001</v>
      </c>
      <c r="AP19" s="27">
        <f t="shared" si="12"/>
        <v>202439.92</v>
      </c>
      <c r="AQ19" s="27">
        <f t="shared" si="12"/>
        <v>-0.1</v>
      </c>
      <c r="AR19" s="27">
        <f t="shared" si="12"/>
        <v>145769.55</v>
      </c>
      <c r="AS19" s="27">
        <f t="shared" si="12"/>
        <v>7244.06</v>
      </c>
      <c r="AT19" s="118">
        <f t="shared" si="12"/>
        <v>1030.6490769999998</v>
      </c>
      <c r="AU19" s="27">
        <f t="shared" si="12"/>
        <v>2.1409809999983542</v>
      </c>
      <c r="AV19" s="27">
        <f t="shared" si="12"/>
        <v>0</v>
      </c>
      <c r="AW19" s="27">
        <f t="shared" si="12"/>
        <v>1.6198400000008288</v>
      </c>
      <c r="AX19" s="27">
        <f t="shared" si="12"/>
        <v>0</v>
      </c>
      <c r="AY19" s="27">
        <f t="shared" si="12"/>
        <v>1027.670046</v>
      </c>
      <c r="AZ19" s="27">
        <f t="shared" si="12"/>
        <v>-0.781789999999289</v>
      </c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</row>
    <row r="20" spans="1:52" s="4" customFormat="1" ht="41.25" customHeight="1">
      <c r="A20" s="70"/>
      <c r="B20" s="47" t="s">
        <v>24</v>
      </c>
      <c r="C20" s="47"/>
      <c r="D20" s="64">
        <f aca="true" t="shared" si="13" ref="D20:D25">SUM(E20:I20)</f>
        <v>161.984</v>
      </c>
      <c r="E20" s="69"/>
      <c r="F20" s="69"/>
      <c r="G20" s="69">
        <v>161.984</v>
      </c>
      <c r="H20" s="69"/>
      <c r="I20" s="69"/>
      <c r="J20" s="34"/>
      <c r="K20" s="14">
        <f t="shared" si="5"/>
        <v>104.38728516396681</v>
      </c>
      <c r="L20" s="50"/>
      <c r="M20" s="73"/>
      <c r="N20" s="142">
        <v>104.39</v>
      </c>
      <c r="O20" s="50"/>
      <c r="P20" s="50"/>
      <c r="Q20" s="50"/>
      <c r="R20" s="63">
        <f aca="true" t="shared" si="14" ref="R20:R25">SUM(S20:W20)</f>
        <v>16909.07</v>
      </c>
      <c r="S20" s="50"/>
      <c r="T20" s="50"/>
      <c r="U20" s="50">
        <v>16909.07</v>
      </c>
      <c r="V20" s="73"/>
      <c r="W20" s="73"/>
      <c r="X20" s="73"/>
      <c r="Y20" s="100">
        <f aca="true" t="shared" si="15" ref="Y20:Y25">SUM(Z20:AD20)</f>
        <v>161.9838091588427</v>
      </c>
      <c r="Z20" s="98"/>
      <c r="AA20" s="98"/>
      <c r="AB20" s="98">
        <f>AP20/AI20</f>
        <v>161.9838091588427</v>
      </c>
      <c r="AC20" s="98"/>
      <c r="AD20" s="98"/>
      <c r="AE20" s="98"/>
      <c r="AF20" s="63">
        <f>AI20</f>
        <v>104.38</v>
      </c>
      <c r="AG20" s="73"/>
      <c r="AH20" s="73"/>
      <c r="AI20" s="73">
        <v>104.38</v>
      </c>
      <c r="AJ20" s="73"/>
      <c r="AK20" s="73"/>
      <c r="AL20" s="73"/>
      <c r="AM20" s="63">
        <f aca="true" t="shared" si="16" ref="AM20:AM25">SUM(AN20:AR20)</f>
        <v>16907.87</v>
      </c>
      <c r="AN20" s="73"/>
      <c r="AO20" s="73"/>
      <c r="AP20" s="73">
        <v>16907.87</v>
      </c>
      <c r="AQ20" s="73"/>
      <c r="AR20" s="73"/>
      <c r="AS20" s="73"/>
      <c r="AT20" s="63">
        <f aca="true" t="shared" si="17" ref="AT20:AT25">SUM(AU20:AY20)</f>
        <v>1.6198400000008288</v>
      </c>
      <c r="AU20" s="73"/>
      <c r="AV20" s="73"/>
      <c r="AW20" s="37">
        <f>(N20-AI20)*G20</f>
        <v>1.6198400000008288</v>
      </c>
      <c r="AX20" s="73"/>
      <c r="AY20" s="73"/>
      <c r="AZ20" s="73"/>
    </row>
    <row r="21" spans="1:52" s="4" customFormat="1" ht="58.5" customHeight="1">
      <c r="A21" s="66"/>
      <c r="B21" s="55" t="s">
        <v>43</v>
      </c>
      <c r="C21" s="47"/>
      <c r="D21" s="62">
        <f t="shared" si="13"/>
        <v>124.498</v>
      </c>
      <c r="E21" s="68"/>
      <c r="F21" s="69">
        <v>124.498</v>
      </c>
      <c r="G21" s="69"/>
      <c r="H21" s="69"/>
      <c r="I21" s="69"/>
      <c r="J21" s="69"/>
      <c r="K21" s="57">
        <f t="shared" si="5"/>
        <v>83.75315266108693</v>
      </c>
      <c r="L21" s="50"/>
      <c r="M21" s="36">
        <v>83.75</v>
      </c>
      <c r="N21" s="50"/>
      <c r="O21" s="50"/>
      <c r="P21" s="50"/>
      <c r="Q21" s="50"/>
      <c r="R21" s="35">
        <f t="shared" si="14"/>
        <v>10427.1</v>
      </c>
      <c r="S21" s="50"/>
      <c r="T21" s="50">
        <v>10427.1</v>
      </c>
      <c r="U21" s="50"/>
      <c r="V21" s="36"/>
      <c r="W21" s="36"/>
      <c r="X21" s="36"/>
      <c r="Y21" s="62">
        <f t="shared" si="15"/>
        <v>124.49767164179104</v>
      </c>
      <c r="Z21" s="34"/>
      <c r="AA21" s="34">
        <f>AO21/AH21</f>
        <v>124.49767164179104</v>
      </c>
      <c r="AB21" s="34"/>
      <c r="AC21" s="34"/>
      <c r="AD21" s="34"/>
      <c r="AE21" s="34"/>
      <c r="AF21" s="14">
        <f>AH21</f>
        <v>83.75</v>
      </c>
      <c r="AG21" s="36"/>
      <c r="AH21" s="36">
        <v>83.75</v>
      </c>
      <c r="AI21" s="36"/>
      <c r="AJ21" s="36"/>
      <c r="AK21" s="36"/>
      <c r="AL21" s="36"/>
      <c r="AM21" s="35">
        <f t="shared" si="16"/>
        <v>10426.68</v>
      </c>
      <c r="AN21" s="36"/>
      <c r="AO21" s="36">
        <v>10426.68</v>
      </c>
      <c r="AP21" s="36"/>
      <c r="AQ21" s="36"/>
      <c r="AR21" s="36"/>
      <c r="AS21" s="36"/>
      <c r="AT21" s="35">
        <f t="shared" si="17"/>
        <v>0</v>
      </c>
      <c r="AU21" s="13"/>
      <c r="AV21" s="13">
        <f>(M21-AH21)*F21</f>
        <v>0</v>
      </c>
      <c r="AW21" s="13"/>
      <c r="AX21" s="13"/>
      <c r="AY21" s="13"/>
      <c r="AZ21" s="36"/>
    </row>
    <row r="22" spans="1:52" ht="40.5" customHeight="1">
      <c r="A22" s="9"/>
      <c r="B22" s="39" t="s">
        <v>35</v>
      </c>
      <c r="C22" s="40"/>
      <c r="D22" s="136">
        <f t="shared" si="13"/>
        <v>3373.4813999999997</v>
      </c>
      <c r="E22" s="140">
        <v>364.6119</v>
      </c>
      <c r="F22" s="140">
        <f>T22/M22</f>
        <v>0</v>
      </c>
      <c r="G22" s="140">
        <v>1837.4566</v>
      </c>
      <c r="H22" s="140">
        <f>V22/O22</f>
        <v>0</v>
      </c>
      <c r="I22" s="140">
        <v>1171.4129</v>
      </c>
      <c r="J22" s="65"/>
      <c r="K22" s="14">
        <f t="shared" si="5"/>
        <v>94.2144456465656</v>
      </c>
      <c r="L22" s="14">
        <f>S22/E22</f>
        <v>91.01587194493652</v>
      </c>
      <c r="M22" s="13">
        <v>94.26</v>
      </c>
      <c r="N22" s="13">
        <f>M22</f>
        <v>94.26</v>
      </c>
      <c r="O22" s="13">
        <v>90.44</v>
      </c>
      <c r="P22" s="130">
        <f>W22/I22</f>
        <v>95.13729104400336</v>
      </c>
      <c r="Q22" s="13"/>
      <c r="R22" s="14">
        <f t="shared" si="14"/>
        <v>317830.68</v>
      </c>
      <c r="S22" s="13">
        <v>33185.47</v>
      </c>
      <c r="T22" s="13"/>
      <c r="U22" s="13">
        <v>173200.16</v>
      </c>
      <c r="V22" s="13"/>
      <c r="W22" s="13">
        <v>111445.05</v>
      </c>
      <c r="X22" s="13"/>
      <c r="Y22" s="64">
        <f t="shared" si="15"/>
        <v>3475.740022132793</v>
      </c>
      <c r="Z22" s="65">
        <f>AN22/AG22</f>
        <v>364.61191077903527</v>
      </c>
      <c r="AA22" s="65">
        <f>AO22/AH22</f>
        <v>5.9900275832802885</v>
      </c>
      <c r="AB22" s="65">
        <f>AP22/AI22</f>
        <v>1968.3009760237642</v>
      </c>
      <c r="AC22" s="65">
        <f>AQ22/AJ22</f>
        <v>-0.0011057054400707652</v>
      </c>
      <c r="AD22" s="65">
        <f>AR22/AK22</f>
        <v>1136.8382134521535</v>
      </c>
      <c r="AE22" s="65"/>
      <c r="AF22" s="14">
        <f>AM22/Y22</f>
        <v>93.91906987326689</v>
      </c>
      <c r="AG22" s="13">
        <v>91.01</v>
      </c>
      <c r="AH22" s="13">
        <v>94.26</v>
      </c>
      <c r="AI22" s="13">
        <f>AH22</f>
        <v>94.26</v>
      </c>
      <c r="AJ22" s="13">
        <v>90.44</v>
      </c>
      <c r="AK22" s="13">
        <f>AH22</f>
        <v>94.26</v>
      </c>
      <c r="AL22" s="13"/>
      <c r="AM22" s="14">
        <f t="shared" si="16"/>
        <v>326438.27</v>
      </c>
      <c r="AN22" s="13">
        <v>33183.33</v>
      </c>
      <c r="AO22" s="13">
        <f>564.62</f>
        <v>564.62</v>
      </c>
      <c r="AP22" s="13">
        <f>-5236.21+190768.26</f>
        <v>185532.05000000002</v>
      </c>
      <c r="AQ22" s="13">
        <f>-0.1</f>
        <v>-0.1</v>
      </c>
      <c r="AR22" s="13">
        <f>107573.94-415.57</f>
        <v>107158.37</v>
      </c>
      <c r="AS22" s="13"/>
      <c r="AT22" s="14">
        <f t="shared" si="17"/>
        <v>1029.8110269999984</v>
      </c>
      <c r="AU22" s="37">
        <f>(L22-AG22)*E22</f>
        <v>2.1409809999983542</v>
      </c>
      <c r="AV22" s="37">
        <f>(M22-AH22)*F22</f>
        <v>0</v>
      </c>
      <c r="AW22" s="37">
        <f>(N22-AI22)*G22</f>
        <v>0</v>
      </c>
      <c r="AX22" s="37">
        <f>(O22-AJ22)*H22</f>
        <v>0</v>
      </c>
      <c r="AY22" s="37">
        <f>(P22-AK22)*I22</f>
        <v>1027.670046</v>
      </c>
      <c r="AZ22" s="13"/>
    </row>
    <row r="23" spans="1:52" s="4" customFormat="1" ht="42" customHeight="1">
      <c r="A23" s="66"/>
      <c r="B23" s="39" t="s">
        <v>23</v>
      </c>
      <c r="C23" s="39"/>
      <c r="D23" s="64">
        <f t="shared" si="13"/>
        <v>481.882</v>
      </c>
      <c r="E23" s="65"/>
      <c r="F23" s="65">
        <v>481.882</v>
      </c>
      <c r="G23" s="65"/>
      <c r="H23" s="65"/>
      <c r="I23" s="65"/>
      <c r="J23" s="65"/>
      <c r="K23" s="14">
        <f aca="true" t="shared" si="18" ref="K23:K46">R23/D23</f>
        <v>90.68300953345425</v>
      </c>
      <c r="L23" s="13"/>
      <c r="M23" s="13">
        <v>90.68</v>
      </c>
      <c r="N23" s="13"/>
      <c r="O23" s="13"/>
      <c r="P23" s="13"/>
      <c r="Q23" s="13"/>
      <c r="R23" s="14">
        <f t="shared" si="14"/>
        <v>43698.51</v>
      </c>
      <c r="S23" s="13"/>
      <c r="T23" s="13">
        <v>43698.51</v>
      </c>
      <c r="U23" s="13"/>
      <c r="V23" s="13"/>
      <c r="W23" s="13"/>
      <c r="X23" s="13"/>
      <c r="Y23" s="64">
        <f t="shared" si="15"/>
        <v>481.8827745919717</v>
      </c>
      <c r="Z23" s="65"/>
      <c r="AA23" s="65">
        <f>AO23/AH23</f>
        <v>481.8827745919717</v>
      </c>
      <c r="AB23" s="65"/>
      <c r="AC23" s="65"/>
      <c r="AD23" s="65"/>
      <c r="AE23" s="65"/>
      <c r="AF23" s="15">
        <f>AH23</f>
        <v>90.68</v>
      </c>
      <c r="AG23" s="13"/>
      <c r="AH23" s="13">
        <v>90.68</v>
      </c>
      <c r="AI23" s="13"/>
      <c r="AJ23" s="13"/>
      <c r="AK23" s="13"/>
      <c r="AL23" s="13"/>
      <c r="AM23" s="14">
        <f t="shared" si="16"/>
        <v>43697.13</v>
      </c>
      <c r="AN23" s="13"/>
      <c r="AO23" s="13">
        <v>43697.13</v>
      </c>
      <c r="AP23" s="13"/>
      <c r="AQ23" s="13"/>
      <c r="AR23" s="13"/>
      <c r="AS23" s="13"/>
      <c r="AT23" s="14">
        <f t="shared" si="17"/>
        <v>0</v>
      </c>
      <c r="AU23" s="13"/>
      <c r="AV23" s="37">
        <f>(M23-AH23)*F23</f>
        <v>0</v>
      </c>
      <c r="AW23" s="13"/>
      <c r="AX23" s="13"/>
      <c r="AY23" s="13"/>
      <c r="AZ23" s="13"/>
    </row>
    <row r="24" spans="1:52" s="4" customFormat="1" ht="57" customHeight="1">
      <c r="A24" s="66"/>
      <c r="B24" s="43" t="s">
        <v>41</v>
      </c>
      <c r="C24" s="43"/>
      <c r="D24" s="67">
        <f t="shared" si="13"/>
        <v>8745.77</v>
      </c>
      <c r="E24" s="34"/>
      <c r="F24" s="97">
        <v>8745.77</v>
      </c>
      <c r="G24" s="34"/>
      <c r="H24" s="34"/>
      <c r="I24" s="97"/>
      <c r="J24" s="97"/>
      <c r="K24" s="15">
        <f t="shared" si="18"/>
        <v>103.34214140092867</v>
      </c>
      <c r="L24" s="37"/>
      <c r="M24" s="139">
        <v>103.34</v>
      </c>
      <c r="N24" s="37"/>
      <c r="O24" s="37"/>
      <c r="P24" s="37"/>
      <c r="Q24" s="37"/>
      <c r="R24" s="15">
        <f t="shared" si="14"/>
        <v>903806.6</v>
      </c>
      <c r="S24" s="37"/>
      <c r="T24" s="37">
        <v>903806.6</v>
      </c>
      <c r="U24" s="37"/>
      <c r="V24" s="37"/>
      <c r="W24" s="37"/>
      <c r="X24" s="37"/>
      <c r="Y24" s="67">
        <f t="shared" si="15"/>
        <v>8757.648732339849</v>
      </c>
      <c r="Z24" s="97"/>
      <c r="AA24" s="97">
        <f>AO24/AH24</f>
        <v>8757.648732339849</v>
      </c>
      <c r="AB24" s="97"/>
      <c r="AC24" s="97"/>
      <c r="AD24" s="97"/>
      <c r="AE24" s="97"/>
      <c r="AF24" s="15">
        <f>AH24</f>
        <v>103.34</v>
      </c>
      <c r="AG24" s="37"/>
      <c r="AH24" s="37">
        <v>103.34</v>
      </c>
      <c r="AI24" s="37"/>
      <c r="AJ24" s="37"/>
      <c r="AK24" s="37"/>
      <c r="AL24" s="37"/>
      <c r="AM24" s="15">
        <f t="shared" si="16"/>
        <v>905015.42</v>
      </c>
      <c r="AN24" s="37"/>
      <c r="AO24" s="36">
        <v>905015.42</v>
      </c>
      <c r="AP24" s="37"/>
      <c r="AQ24" s="37"/>
      <c r="AR24" s="37"/>
      <c r="AS24" s="37"/>
      <c r="AT24" s="15">
        <f t="shared" si="17"/>
        <v>0</v>
      </c>
      <c r="AU24" s="37"/>
      <c r="AV24" s="37">
        <f>(M24-AH24)*F24</f>
        <v>0</v>
      </c>
      <c r="AW24" s="37"/>
      <c r="AX24" s="37"/>
      <c r="AY24" s="37"/>
      <c r="AZ24" s="37"/>
    </row>
    <row r="25" spans="1:52" ht="65.25" customHeight="1">
      <c r="A25" s="9"/>
      <c r="B25" s="39" t="s">
        <v>42</v>
      </c>
      <c r="C25" s="40"/>
      <c r="D25" s="64">
        <f t="shared" si="13"/>
        <v>428.442</v>
      </c>
      <c r="E25" s="65"/>
      <c r="F25" s="65"/>
      <c r="G25" s="65"/>
      <c r="H25" s="65"/>
      <c r="I25" s="65">
        <v>428.442</v>
      </c>
      <c r="J25" s="65"/>
      <c r="K25" s="14">
        <f t="shared" si="18"/>
        <v>90.1199695641417</v>
      </c>
      <c r="L25" s="13"/>
      <c r="M25" s="13"/>
      <c r="N25" s="13"/>
      <c r="O25" s="13"/>
      <c r="P25" s="13">
        <v>90.12</v>
      </c>
      <c r="Q25" s="13"/>
      <c r="R25" s="14">
        <f t="shared" si="14"/>
        <v>38611.18</v>
      </c>
      <c r="S25" s="13"/>
      <c r="T25" s="13"/>
      <c r="U25" s="13"/>
      <c r="V25" s="13"/>
      <c r="W25" s="13">
        <v>38611.18</v>
      </c>
      <c r="X25" s="13"/>
      <c r="Y25" s="64">
        <f t="shared" si="15"/>
        <v>428.44185530403905</v>
      </c>
      <c r="Z25" s="65"/>
      <c r="AA25" s="65"/>
      <c r="AB25" s="65"/>
      <c r="AC25" s="65"/>
      <c r="AD25" s="65">
        <f>AR25/AK25</f>
        <v>428.44185530403905</v>
      </c>
      <c r="AE25" s="65"/>
      <c r="AF25" s="14">
        <f>AK25</f>
        <v>90.12</v>
      </c>
      <c r="AG25" s="13"/>
      <c r="AH25" s="13"/>
      <c r="AI25" s="13"/>
      <c r="AJ25" s="13"/>
      <c r="AK25" s="37">
        <v>90.12</v>
      </c>
      <c r="AL25" s="13"/>
      <c r="AM25" s="14">
        <f t="shared" si="16"/>
        <v>38611.18</v>
      </c>
      <c r="AN25" s="13"/>
      <c r="AO25" s="13"/>
      <c r="AP25" s="13"/>
      <c r="AQ25" s="13"/>
      <c r="AR25" s="13">
        <v>38611.18</v>
      </c>
      <c r="AS25" s="13"/>
      <c r="AT25" s="14">
        <f t="shared" si="17"/>
        <v>0</v>
      </c>
      <c r="AU25" s="37"/>
      <c r="AV25" s="37"/>
      <c r="AW25" s="37"/>
      <c r="AX25" s="37"/>
      <c r="AY25" s="37">
        <f>(P25-AK25)*I25</f>
        <v>0</v>
      </c>
      <c r="AZ25" s="13"/>
    </row>
    <row r="26" spans="1:52" ht="58.5" customHeight="1" thickBot="1">
      <c r="A26" s="38">
        <v>36</v>
      </c>
      <c r="B26" s="39" t="s">
        <v>37</v>
      </c>
      <c r="C26" s="106"/>
      <c r="D26" s="62">
        <f>SUM(E26:J26)</f>
        <v>78.179</v>
      </c>
      <c r="E26" s="42"/>
      <c r="F26" s="42"/>
      <c r="G26" s="76"/>
      <c r="H26" s="42"/>
      <c r="I26" s="107"/>
      <c r="J26" s="69">
        <v>78.179</v>
      </c>
      <c r="K26" s="35">
        <f t="shared" si="18"/>
        <v>92.65365379449723</v>
      </c>
      <c r="L26" s="108"/>
      <c r="M26" s="13"/>
      <c r="N26" s="13"/>
      <c r="O26" s="13"/>
      <c r="P26" s="13"/>
      <c r="Q26" s="130">
        <v>92.65</v>
      </c>
      <c r="R26" s="57">
        <f>SUM(S26:X26)</f>
        <v>7243.57</v>
      </c>
      <c r="S26" s="13"/>
      <c r="T26" s="13"/>
      <c r="U26" s="13"/>
      <c r="V26" s="13"/>
      <c r="W26" s="13"/>
      <c r="X26" s="13">
        <v>7243.57</v>
      </c>
      <c r="Y26" s="64">
        <f>AE26</f>
        <v>78.17893373624003</v>
      </c>
      <c r="Z26" s="65"/>
      <c r="AA26" s="65"/>
      <c r="AB26" s="65"/>
      <c r="AC26" s="65"/>
      <c r="AD26" s="65"/>
      <c r="AE26" s="65">
        <f>AS26/AL26</f>
        <v>78.17893373624003</v>
      </c>
      <c r="AF26" s="14">
        <f>AL26</f>
        <v>92.66</v>
      </c>
      <c r="AG26" s="13"/>
      <c r="AH26" s="13"/>
      <c r="AI26" s="13"/>
      <c r="AJ26" s="13"/>
      <c r="AK26" s="109"/>
      <c r="AL26" s="109">
        <v>92.66</v>
      </c>
      <c r="AM26" s="14">
        <f>AS26</f>
        <v>7244.06</v>
      </c>
      <c r="AN26" s="13"/>
      <c r="AO26" s="13"/>
      <c r="AP26" s="13"/>
      <c r="AQ26" s="13"/>
      <c r="AR26" s="13"/>
      <c r="AS26" s="13">
        <v>7244.06</v>
      </c>
      <c r="AT26" s="57">
        <f>SUM(AU26:AZ26)</f>
        <v>-0.781789999999289</v>
      </c>
      <c r="AU26" s="36"/>
      <c r="AV26" s="36"/>
      <c r="AW26" s="36"/>
      <c r="AX26" s="36"/>
      <c r="AY26" s="36"/>
      <c r="AZ26" s="37">
        <f>(Q26-AL26)*J26</f>
        <v>-0.781789999999289</v>
      </c>
    </row>
    <row r="27" spans="1:65" s="29" customFormat="1" ht="43.5" customHeight="1" thickBot="1">
      <c r="A27" s="23">
        <v>3</v>
      </c>
      <c r="B27" s="24" t="s">
        <v>1</v>
      </c>
      <c r="C27" s="24" t="s">
        <v>5</v>
      </c>
      <c r="D27" s="71">
        <f aca="true" t="shared" si="19" ref="D27:J27">SUM(D28:D36)</f>
        <v>75007.834</v>
      </c>
      <c r="E27" s="71">
        <f t="shared" si="19"/>
        <v>9211.17</v>
      </c>
      <c r="F27" s="71">
        <f t="shared" si="19"/>
        <v>30813.345000000005</v>
      </c>
      <c r="G27" s="71">
        <f t="shared" si="19"/>
        <v>14647.98</v>
      </c>
      <c r="H27" s="71">
        <f t="shared" si="19"/>
        <v>10212.04</v>
      </c>
      <c r="I27" s="71">
        <f t="shared" si="19"/>
        <v>9210.569</v>
      </c>
      <c r="J27" s="71">
        <f t="shared" si="19"/>
        <v>912.73</v>
      </c>
      <c r="K27" s="28">
        <f t="shared" si="18"/>
        <v>21.013475472441982</v>
      </c>
      <c r="L27" s="28">
        <f>S27/E27</f>
        <v>20.67588156553402</v>
      </c>
      <c r="M27" s="28">
        <f>T27/F27</f>
        <v>21.592163070903204</v>
      </c>
      <c r="N27" s="28">
        <f>U27/G27</f>
        <v>21.048952142206637</v>
      </c>
      <c r="O27" s="28">
        <f>O32</f>
        <v>20.91</v>
      </c>
      <c r="P27" s="28">
        <f>W27/I27</f>
        <v>19.62449334020515</v>
      </c>
      <c r="Q27" s="28">
        <f>Q33</f>
        <v>19.49</v>
      </c>
      <c r="R27" s="28">
        <f aca="true" t="shared" si="20" ref="R27:AE27">SUM(R28:R36)</f>
        <v>1576175.2799999998</v>
      </c>
      <c r="S27" s="28">
        <f t="shared" si="20"/>
        <v>190449.06</v>
      </c>
      <c r="T27" s="28">
        <f t="shared" si="20"/>
        <v>665326.77</v>
      </c>
      <c r="U27" s="28">
        <f t="shared" si="20"/>
        <v>308324.62999999995</v>
      </c>
      <c r="V27" s="28">
        <f t="shared" si="20"/>
        <v>213529.68</v>
      </c>
      <c r="W27" s="28">
        <f t="shared" si="20"/>
        <v>180752.75</v>
      </c>
      <c r="X27" s="28">
        <f t="shared" si="20"/>
        <v>17792.39</v>
      </c>
      <c r="Y27" s="60">
        <f>SUM(Y28:Y36)</f>
        <v>74812.94013586894</v>
      </c>
      <c r="Z27" s="60">
        <f t="shared" si="20"/>
        <v>9061.016687370773</v>
      </c>
      <c r="AA27" s="60">
        <f t="shared" si="20"/>
        <v>30796.7751334952</v>
      </c>
      <c r="AB27" s="60">
        <f t="shared" si="20"/>
        <v>14774.531707845515</v>
      </c>
      <c r="AC27" s="60">
        <f t="shared" si="20"/>
        <v>10221.391678622667</v>
      </c>
      <c r="AD27" s="60">
        <f t="shared" si="20"/>
        <v>9046.497889027341</v>
      </c>
      <c r="AE27" s="60">
        <f t="shared" si="20"/>
        <v>912.7270395074397</v>
      </c>
      <c r="AF27" s="28">
        <f>AM27/Y27</f>
        <v>21.870586920236878</v>
      </c>
      <c r="AG27" s="101">
        <f>AN27/Z27</f>
        <v>20.67237556918708</v>
      </c>
      <c r="AH27" s="101">
        <f>AO27/AA27</f>
        <v>23.669931570438067</v>
      </c>
      <c r="AI27" s="101">
        <f>AP27/AB27</f>
        <v>21.04225881047131</v>
      </c>
      <c r="AJ27" s="101">
        <f>AJ32</f>
        <v>20.91</v>
      </c>
      <c r="AK27" s="27">
        <f>AR27/AD27</f>
        <v>19.62358718010899</v>
      </c>
      <c r="AL27" s="101">
        <f>AL33</f>
        <v>19.49</v>
      </c>
      <c r="AM27" s="101">
        <f aca="true" t="shared" si="21" ref="AM27:AZ27">SUM(AM28:AM36)</f>
        <v>1636202.9099999997</v>
      </c>
      <c r="AN27" s="119">
        <f t="shared" si="21"/>
        <v>187312.74</v>
      </c>
      <c r="AO27" s="119">
        <f t="shared" si="21"/>
        <v>728957.56</v>
      </c>
      <c r="AP27" s="119">
        <f t="shared" si="21"/>
        <v>310889.52</v>
      </c>
      <c r="AQ27" s="119">
        <f t="shared" si="21"/>
        <v>213729.3</v>
      </c>
      <c r="AR27" s="119">
        <f t="shared" si="21"/>
        <v>177524.74</v>
      </c>
      <c r="AS27" s="119">
        <f t="shared" si="21"/>
        <v>17789.05</v>
      </c>
      <c r="AT27" s="118">
        <f t="shared" si="21"/>
        <v>0</v>
      </c>
      <c r="AU27" s="28">
        <f t="shared" si="21"/>
        <v>0</v>
      </c>
      <c r="AV27" s="28">
        <f t="shared" si="21"/>
        <v>0</v>
      </c>
      <c r="AW27" s="28">
        <f t="shared" si="21"/>
        <v>0</v>
      </c>
      <c r="AX27" s="28">
        <f t="shared" si="21"/>
        <v>0</v>
      </c>
      <c r="AY27" s="28">
        <f t="shared" si="21"/>
        <v>0</v>
      </c>
      <c r="AZ27" s="28">
        <f t="shared" si="21"/>
        <v>0</v>
      </c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</row>
    <row r="28" spans="1:52" ht="51" customHeight="1">
      <c r="A28" s="74"/>
      <c r="B28" s="47" t="s">
        <v>20</v>
      </c>
      <c r="C28" s="32"/>
      <c r="D28" s="75">
        <f aca="true" t="shared" si="22" ref="D28:D36">SUM(E28:J28)</f>
        <v>143.5</v>
      </c>
      <c r="E28" s="76">
        <f>S28/L28</f>
        <v>143.5</v>
      </c>
      <c r="F28" s="76"/>
      <c r="G28" s="76"/>
      <c r="H28" s="76"/>
      <c r="I28" s="76"/>
      <c r="J28" s="76"/>
      <c r="K28" s="14">
        <f t="shared" si="18"/>
        <v>20.82</v>
      </c>
      <c r="L28" s="37">
        <v>20.82</v>
      </c>
      <c r="M28" s="36"/>
      <c r="N28" s="36"/>
      <c r="O28" s="37"/>
      <c r="P28" s="37"/>
      <c r="Q28" s="37"/>
      <c r="R28" s="14">
        <f aca="true" t="shared" si="23" ref="R28:R36">SUM(S28:X28)</f>
        <v>2987.67</v>
      </c>
      <c r="S28" s="36">
        <v>2987.67</v>
      </c>
      <c r="T28" s="36"/>
      <c r="U28" s="36"/>
      <c r="V28" s="13"/>
      <c r="W28" s="13"/>
      <c r="X28" s="13"/>
      <c r="Y28" s="64">
        <f>SUM(Z28:AD28)</f>
        <v>143.5004803073967</v>
      </c>
      <c r="Z28" s="65">
        <f>AN28/AG28</f>
        <v>143.5004803073967</v>
      </c>
      <c r="AA28" s="65"/>
      <c r="AB28" s="65"/>
      <c r="AC28" s="65"/>
      <c r="AD28" s="65"/>
      <c r="AE28" s="65"/>
      <c r="AF28" s="14">
        <f>AG28</f>
        <v>20.82</v>
      </c>
      <c r="AG28" s="13">
        <v>20.82</v>
      </c>
      <c r="AH28" s="13"/>
      <c r="AI28" s="13"/>
      <c r="AJ28" s="13"/>
      <c r="AK28" s="13"/>
      <c r="AL28" s="13"/>
      <c r="AM28" s="14">
        <f>SUM(AN28:AR28)</f>
        <v>2987.68</v>
      </c>
      <c r="AN28" s="36">
        <v>2987.68</v>
      </c>
      <c r="AO28" s="36"/>
      <c r="AP28" s="36"/>
      <c r="AQ28" s="13"/>
      <c r="AR28" s="13"/>
      <c r="AS28" s="13"/>
      <c r="AT28" s="14">
        <f>SUM(AU28:AY28)</f>
        <v>0</v>
      </c>
      <c r="AU28" s="37">
        <f>(L28-AG28)*E28</f>
        <v>0</v>
      </c>
      <c r="AV28" s="37"/>
      <c r="AW28" s="37"/>
      <c r="AX28" s="37"/>
      <c r="AY28" s="37"/>
      <c r="AZ28" s="13"/>
    </row>
    <row r="29" spans="1:52" ht="54" customHeight="1">
      <c r="A29" s="74"/>
      <c r="B29" s="47" t="s">
        <v>21</v>
      </c>
      <c r="C29" s="48"/>
      <c r="D29" s="75">
        <f t="shared" si="22"/>
        <v>415.5</v>
      </c>
      <c r="E29" s="76"/>
      <c r="F29" s="76"/>
      <c r="G29" s="76">
        <f>U29/N29</f>
        <v>415.5</v>
      </c>
      <c r="H29" s="76"/>
      <c r="I29" s="76"/>
      <c r="J29" s="76"/>
      <c r="K29" s="14">
        <f t="shared" si="18"/>
        <v>23.5</v>
      </c>
      <c r="L29" s="37"/>
      <c r="M29" s="13"/>
      <c r="N29" s="50">
        <v>23.5</v>
      </c>
      <c r="O29" s="37"/>
      <c r="P29" s="37"/>
      <c r="Q29" s="37"/>
      <c r="R29" s="14">
        <f t="shared" si="23"/>
        <v>9764.25</v>
      </c>
      <c r="S29" s="50"/>
      <c r="T29" s="50"/>
      <c r="U29" s="50">
        <v>9764.25</v>
      </c>
      <c r="V29" s="36"/>
      <c r="W29" s="36"/>
      <c r="X29" s="13"/>
      <c r="Y29" s="67">
        <f>SUM(Z29:AD29)</f>
        <v>415.5</v>
      </c>
      <c r="Z29" s="97"/>
      <c r="AA29" s="97"/>
      <c r="AB29" s="97">
        <f>AP29/AI29</f>
        <v>415.5</v>
      </c>
      <c r="AC29" s="97"/>
      <c r="AD29" s="97"/>
      <c r="AE29" s="97"/>
      <c r="AF29" s="14">
        <f>AI29</f>
        <v>23.5</v>
      </c>
      <c r="AG29" s="13"/>
      <c r="AH29" s="13"/>
      <c r="AI29" s="13">
        <v>23.5</v>
      </c>
      <c r="AJ29" s="13"/>
      <c r="AK29" s="13"/>
      <c r="AL29" s="37"/>
      <c r="AM29" s="15">
        <f>SUM(AN29:AR29)</f>
        <v>9764.25</v>
      </c>
      <c r="AN29" s="50"/>
      <c r="AO29" s="50"/>
      <c r="AP29" s="50">
        <v>9764.25</v>
      </c>
      <c r="AQ29" s="36"/>
      <c r="AR29" s="36"/>
      <c r="AS29" s="13"/>
      <c r="AT29" s="14">
        <f>SUM(AU29:AY29)</f>
        <v>0</v>
      </c>
      <c r="AU29" s="37"/>
      <c r="AV29" s="37"/>
      <c r="AW29" s="37">
        <f>(N29-AI29)*G29</f>
        <v>0</v>
      </c>
      <c r="AX29" s="37"/>
      <c r="AY29" s="37"/>
      <c r="AZ29" s="13"/>
    </row>
    <row r="30" spans="1:52" ht="59.25" customHeight="1">
      <c r="A30" s="38"/>
      <c r="B30" s="54" t="s">
        <v>39</v>
      </c>
      <c r="C30" s="40"/>
      <c r="D30" s="75">
        <f t="shared" si="22"/>
        <v>8303.324</v>
      </c>
      <c r="E30" s="76"/>
      <c r="F30" s="65">
        <v>8303.324</v>
      </c>
      <c r="G30" s="76"/>
      <c r="H30" s="76"/>
      <c r="I30" s="76"/>
      <c r="J30" s="76"/>
      <c r="K30" s="14">
        <f t="shared" si="18"/>
        <v>15.679999961461215</v>
      </c>
      <c r="L30" s="13"/>
      <c r="M30" s="37">
        <v>23.4</v>
      </c>
      <c r="N30" s="13"/>
      <c r="O30" s="37"/>
      <c r="P30" s="37"/>
      <c r="Q30" s="37"/>
      <c r="R30" s="14">
        <f t="shared" si="23"/>
        <v>130196.12</v>
      </c>
      <c r="S30" s="13"/>
      <c r="T30" s="13">
        <v>130196.12</v>
      </c>
      <c r="U30" s="13"/>
      <c r="V30" s="13"/>
      <c r="W30" s="13"/>
      <c r="X30" s="37"/>
      <c r="Y30" s="67">
        <f>SUM(Z30:AD30)</f>
        <v>8299.625213675214</v>
      </c>
      <c r="Z30" s="97"/>
      <c r="AA30" s="97">
        <f>AO30/AH30</f>
        <v>8299.625213675214</v>
      </c>
      <c r="AB30" s="97"/>
      <c r="AC30" s="97"/>
      <c r="AD30" s="97"/>
      <c r="AE30" s="97"/>
      <c r="AF30" s="14">
        <f>AH30</f>
        <v>23.4</v>
      </c>
      <c r="AG30" s="37"/>
      <c r="AH30" s="37">
        <v>23.4</v>
      </c>
      <c r="AI30" s="37"/>
      <c r="AJ30" s="37"/>
      <c r="AK30" s="37"/>
      <c r="AL30" s="37"/>
      <c r="AM30" s="15">
        <f>SUM(AN30:AR30)</f>
        <v>194211.22999999998</v>
      </c>
      <c r="AN30" s="13"/>
      <c r="AO30" s="13">
        <f>193964.36+246.87</f>
        <v>194211.22999999998</v>
      </c>
      <c r="AP30" s="13"/>
      <c r="AQ30" s="13"/>
      <c r="AR30" s="13"/>
      <c r="AS30" s="37"/>
      <c r="AT30" s="15">
        <f>SUM(AU30:AY30)</f>
        <v>0</v>
      </c>
      <c r="AU30" s="37"/>
      <c r="AV30" s="37">
        <f>(M30-AH30)*F30</f>
        <v>0</v>
      </c>
      <c r="AW30" s="37"/>
      <c r="AX30" s="37"/>
      <c r="AY30" s="37"/>
      <c r="AZ30" s="13"/>
    </row>
    <row r="31" spans="1:52" ht="35.25" customHeight="1">
      <c r="A31" s="38"/>
      <c r="B31" s="39" t="s">
        <v>22</v>
      </c>
      <c r="C31" s="40"/>
      <c r="D31" s="75">
        <f t="shared" si="22"/>
        <v>119.9</v>
      </c>
      <c r="E31" s="76"/>
      <c r="F31" s="76"/>
      <c r="G31" s="77">
        <v>119.9</v>
      </c>
      <c r="H31" s="76"/>
      <c r="I31" s="76"/>
      <c r="J31" s="76"/>
      <c r="K31" s="14">
        <f t="shared" si="18"/>
        <v>28.95721434528774</v>
      </c>
      <c r="L31" s="13"/>
      <c r="M31" s="122"/>
      <c r="N31" s="13">
        <v>28.96</v>
      </c>
      <c r="O31" s="13"/>
      <c r="P31" s="13"/>
      <c r="Q31" s="13"/>
      <c r="R31" s="14">
        <f t="shared" si="23"/>
        <v>3471.97</v>
      </c>
      <c r="S31" s="13"/>
      <c r="T31" s="13"/>
      <c r="U31" s="13">
        <v>3471.97</v>
      </c>
      <c r="V31" s="13"/>
      <c r="W31" s="13"/>
      <c r="X31" s="13"/>
      <c r="Y31" s="64">
        <f>SUM(Z31:AD31)</f>
        <v>109.05801104972376</v>
      </c>
      <c r="Z31" s="65"/>
      <c r="AA31" s="65"/>
      <c r="AB31" s="65">
        <f>AP31/AI31</f>
        <v>109.05801104972376</v>
      </c>
      <c r="AC31" s="65"/>
      <c r="AD31" s="65"/>
      <c r="AE31" s="65"/>
      <c r="AF31" s="14">
        <f>AI31</f>
        <v>28.96</v>
      </c>
      <c r="AG31" s="13"/>
      <c r="AH31" s="13"/>
      <c r="AI31" s="13">
        <v>28.96</v>
      </c>
      <c r="AJ31" s="13"/>
      <c r="AK31" s="13"/>
      <c r="AL31" s="13"/>
      <c r="AM31" s="14">
        <f>SUM(AN31:AR31)</f>
        <v>3158.32</v>
      </c>
      <c r="AN31" s="13"/>
      <c r="AO31" s="13"/>
      <c r="AP31" s="13">
        <v>3158.32</v>
      </c>
      <c r="AQ31" s="13"/>
      <c r="AR31" s="13"/>
      <c r="AS31" s="13"/>
      <c r="AT31" s="15">
        <f>SUM(AU31:AY31)</f>
        <v>0</v>
      </c>
      <c r="AU31" s="37"/>
      <c r="AV31" s="37"/>
      <c r="AW31" s="37">
        <f>(N31-AI31)*G31</f>
        <v>0</v>
      </c>
      <c r="AX31" s="37"/>
      <c r="AY31" s="37"/>
      <c r="AZ31" s="13"/>
    </row>
    <row r="32" spans="1:52" ht="42" customHeight="1">
      <c r="A32" s="9"/>
      <c r="B32" s="43" t="s">
        <v>25</v>
      </c>
      <c r="C32" s="32"/>
      <c r="D32" s="75">
        <f t="shared" si="22"/>
        <v>43321.33</v>
      </c>
      <c r="E32" s="34">
        <v>4418.27</v>
      </c>
      <c r="F32" s="34">
        <v>6168.2</v>
      </c>
      <c r="G32" s="34">
        <v>14112.58</v>
      </c>
      <c r="H32" s="34">
        <v>10212.04</v>
      </c>
      <c r="I32" s="34">
        <v>8410.24</v>
      </c>
      <c r="J32" s="96"/>
      <c r="K32" s="120">
        <f t="shared" si="18"/>
        <v>20.610634068713956</v>
      </c>
      <c r="L32" s="36">
        <v>20.67</v>
      </c>
      <c r="M32" s="36">
        <v>20.91</v>
      </c>
      <c r="N32" s="36">
        <v>20.91</v>
      </c>
      <c r="O32" s="36">
        <v>20.91</v>
      </c>
      <c r="P32" s="36">
        <v>19.49</v>
      </c>
      <c r="Q32" s="36"/>
      <c r="R32" s="14">
        <f t="shared" si="23"/>
        <v>892880.08</v>
      </c>
      <c r="S32" s="36">
        <v>91341.55</v>
      </c>
      <c r="T32" s="36">
        <v>128974.59</v>
      </c>
      <c r="U32" s="36">
        <v>295088.41</v>
      </c>
      <c r="V32" s="36">
        <v>213529.68</v>
      </c>
      <c r="W32" s="36">
        <v>163945.85</v>
      </c>
      <c r="X32" s="36"/>
      <c r="Y32" s="67">
        <f>SUM(Z32:AD32)</f>
        <v>43215.97874205176</v>
      </c>
      <c r="Z32" s="97">
        <f>AN32/AG32</f>
        <v>4330.14610546686</v>
      </c>
      <c r="AA32" s="97">
        <f>AO32/AH32</f>
        <v>6168.297943567671</v>
      </c>
      <c r="AB32" s="97">
        <f>AP32/AI32</f>
        <v>14249.973696795792</v>
      </c>
      <c r="AC32" s="97">
        <f>AQ32/AJ32</f>
        <v>10221.391678622667</v>
      </c>
      <c r="AD32" s="97">
        <f>AR32/AK32</f>
        <v>8246.16931759877</v>
      </c>
      <c r="AE32" s="97"/>
      <c r="AF32" s="121">
        <f>AM32/Y32</f>
        <v>20.61499810793601</v>
      </c>
      <c r="AG32" s="37">
        <v>20.67</v>
      </c>
      <c r="AH32" s="37">
        <v>20.91</v>
      </c>
      <c r="AI32" s="37">
        <f>AH32</f>
        <v>20.91</v>
      </c>
      <c r="AJ32" s="37">
        <f>AH32</f>
        <v>20.91</v>
      </c>
      <c r="AK32" s="37">
        <v>19.49</v>
      </c>
      <c r="AL32" s="37"/>
      <c r="AM32" s="15">
        <f>SUM(AN32:AS32)</f>
        <v>890897.32</v>
      </c>
      <c r="AN32" s="36">
        <f>89252.89+251.23</f>
        <v>89504.12</v>
      </c>
      <c r="AO32" s="36">
        <f>63985.7+39955.16+25036.48+1.77</f>
        <v>128979.11</v>
      </c>
      <c r="AP32" s="36">
        <f>115812.72+182154.23</f>
        <v>297966.95</v>
      </c>
      <c r="AQ32" s="36">
        <f>146230.3+47595.72+19893.83+3.98+5.47</f>
        <v>213729.3</v>
      </c>
      <c r="AR32" s="36">
        <f>159154.85+1562.99</f>
        <v>160717.84</v>
      </c>
      <c r="AS32" s="37"/>
      <c r="AT32" s="15">
        <f>SUM(AU32:AY32)</f>
        <v>0</v>
      </c>
      <c r="AU32" s="37">
        <f>(L32-AG32)*E32</f>
        <v>0</v>
      </c>
      <c r="AV32" s="37">
        <f>(M32-AH32)*F32</f>
        <v>0</v>
      </c>
      <c r="AW32" s="37">
        <f>(N32-AI32)*G32</f>
        <v>0</v>
      </c>
      <c r="AX32" s="37">
        <f>(O32-AJ32)*H32</f>
        <v>0</v>
      </c>
      <c r="AY32" s="37">
        <f>(P32-AK32)*I32</f>
        <v>0</v>
      </c>
      <c r="AZ32" s="37"/>
    </row>
    <row r="33" spans="1:52" ht="84" customHeight="1">
      <c r="A33" s="74"/>
      <c r="B33" s="31" t="s">
        <v>27</v>
      </c>
      <c r="C33" s="40"/>
      <c r="D33" s="75">
        <f t="shared" si="22"/>
        <v>21190.55</v>
      </c>
      <c r="E33" s="65">
        <v>4649.4</v>
      </c>
      <c r="F33" s="65">
        <v>15628.42</v>
      </c>
      <c r="G33" s="76"/>
      <c r="H33" s="76"/>
      <c r="I33" s="76"/>
      <c r="J33" s="65">
        <v>912.73</v>
      </c>
      <c r="K33" s="14">
        <f t="shared" si="18"/>
        <v>23.816671110471415</v>
      </c>
      <c r="L33" s="13">
        <v>20.67</v>
      </c>
      <c r="M33" s="13">
        <v>25</v>
      </c>
      <c r="N33" s="13"/>
      <c r="O33" s="13"/>
      <c r="P33" s="13"/>
      <c r="Q33" s="13">
        <v>19.49</v>
      </c>
      <c r="R33" s="14">
        <f t="shared" si="23"/>
        <v>504688.36</v>
      </c>
      <c r="S33" s="13">
        <v>96119.84</v>
      </c>
      <c r="T33" s="13">
        <v>390776.13</v>
      </c>
      <c r="U33" s="13"/>
      <c r="V33" s="13"/>
      <c r="W33" s="13"/>
      <c r="X33" s="13">
        <v>17792.39</v>
      </c>
      <c r="Y33" s="64">
        <f>SUM(Z33:AE33)</f>
        <v>21115.553941103957</v>
      </c>
      <c r="Z33" s="65">
        <f>AN33/AG33</f>
        <v>4587.370101596516</v>
      </c>
      <c r="AA33" s="65">
        <f>AO33/AH33</f>
        <v>15615.4568</v>
      </c>
      <c r="AB33" s="65"/>
      <c r="AC33" s="65"/>
      <c r="AD33" s="65"/>
      <c r="AE33" s="65">
        <f>AS33/AL33</f>
        <v>912.7270395074397</v>
      </c>
      <c r="AF33" s="14">
        <f>AM33/Y33</f>
        <v>23.82113258325926</v>
      </c>
      <c r="AG33" s="13">
        <v>20.67</v>
      </c>
      <c r="AH33" s="13">
        <v>25</v>
      </c>
      <c r="AI33" s="13"/>
      <c r="AJ33" s="13"/>
      <c r="AK33" s="13"/>
      <c r="AL33" s="37">
        <v>19.49</v>
      </c>
      <c r="AM33" s="15">
        <f>SUM(AN33:AS33)</f>
        <v>502996.41</v>
      </c>
      <c r="AN33" s="13">
        <f>94694.96+125.98</f>
        <v>94820.94</v>
      </c>
      <c r="AO33" s="13">
        <f>307218.93+81997.15+883.19+287.15</f>
        <v>390386.42</v>
      </c>
      <c r="AP33" s="13"/>
      <c r="AQ33" s="13"/>
      <c r="AR33" s="13"/>
      <c r="AS33" s="37">
        <v>17789.05</v>
      </c>
      <c r="AT33" s="14">
        <f>SUM(AU33:AZ33)</f>
        <v>0</v>
      </c>
      <c r="AU33" s="37">
        <f>(L33-AG33)*E33</f>
        <v>0</v>
      </c>
      <c r="AV33" s="37">
        <f>(M33-AH33)*F33</f>
        <v>0</v>
      </c>
      <c r="AW33" s="37"/>
      <c r="AX33" s="37"/>
      <c r="AY33" s="37"/>
      <c r="AZ33" s="37">
        <f>(Q33-AL33)*J33</f>
        <v>0</v>
      </c>
    </row>
    <row r="34" spans="1:52" ht="39.75" customHeight="1">
      <c r="A34" s="38"/>
      <c r="B34" s="39" t="s">
        <v>23</v>
      </c>
      <c r="C34" s="40"/>
      <c r="D34" s="75">
        <f t="shared" si="22"/>
        <v>713.401</v>
      </c>
      <c r="E34" s="76"/>
      <c r="F34" s="65">
        <v>713.401</v>
      </c>
      <c r="G34" s="76"/>
      <c r="H34" s="76"/>
      <c r="I34" s="76"/>
      <c r="J34" s="76"/>
      <c r="K34" s="14">
        <f t="shared" si="18"/>
        <v>21.55860448751824</v>
      </c>
      <c r="L34" s="13"/>
      <c r="M34" s="13">
        <v>21.56</v>
      </c>
      <c r="N34" s="13"/>
      <c r="O34" s="37"/>
      <c r="P34" s="37"/>
      <c r="Q34" s="37"/>
      <c r="R34" s="14">
        <f t="shared" si="23"/>
        <v>15379.93</v>
      </c>
      <c r="S34" s="13"/>
      <c r="T34" s="13">
        <v>15379.93</v>
      </c>
      <c r="U34" s="13"/>
      <c r="V34" s="13"/>
      <c r="W34" s="13"/>
      <c r="X34" s="13"/>
      <c r="Y34" s="67">
        <f>SUM(Z34:AD34)</f>
        <v>713.3951762523192</v>
      </c>
      <c r="Z34" s="97"/>
      <c r="AA34" s="97">
        <f>AO34/AH34</f>
        <v>713.3951762523192</v>
      </c>
      <c r="AB34" s="97"/>
      <c r="AC34" s="97"/>
      <c r="AD34" s="97"/>
      <c r="AE34" s="97"/>
      <c r="AF34" s="14">
        <f>AH34</f>
        <v>21.56</v>
      </c>
      <c r="AG34" s="37"/>
      <c r="AH34" s="37">
        <v>21.56</v>
      </c>
      <c r="AI34" s="37"/>
      <c r="AJ34" s="37"/>
      <c r="AK34" s="37"/>
      <c r="AL34" s="37"/>
      <c r="AM34" s="15">
        <f>SUM(AN34:AR34)</f>
        <v>15380.800000000001</v>
      </c>
      <c r="AN34" s="13"/>
      <c r="AO34" s="13">
        <f>15087.51+293.29</f>
        <v>15380.800000000001</v>
      </c>
      <c r="AP34" s="13"/>
      <c r="AQ34" s="13"/>
      <c r="AR34" s="13"/>
      <c r="AS34" s="37"/>
      <c r="AT34" s="14">
        <f>SUM(AU34:AZ34)</f>
        <v>0</v>
      </c>
      <c r="AU34" s="37"/>
      <c r="AV34" s="37">
        <f>(M34-AH34)*F34</f>
        <v>0</v>
      </c>
      <c r="AW34" s="37"/>
      <c r="AX34" s="37"/>
      <c r="AY34" s="37"/>
      <c r="AZ34" s="13"/>
    </row>
    <row r="35" spans="1:52" ht="39.75" customHeight="1">
      <c r="A35" s="38"/>
      <c r="B35" s="39" t="s">
        <v>44</v>
      </c>
      <c r="C35" s="40"/>
      <c r="D35" s="75">
        <f t="shared" si="22"/>
        <v>0</v>
      </c>
      <c r="E35" s="76"/>
      <c r="F35" s="76"/>
      <c r="G35" s="76"/>
      <c r="H35" s="76"/>
      <c r="I35" s="76"/>
      <c r="J35" s="76"/>
      <c r="K35" s="14" t="e">
        <f t="shared" si="18"/>
        <v>#DIV/0!</v>
      </c>
      <c r="L35" s="13"/>
      <c r="M35" s="37"/>
      <c r="N35" s="13"/>
      <c r="O35" s="37"/>
      <c r="P35" s="37"/>
      <c r="Q35" s="37"/>
      <c r="R35" s="14">
        <f t="shared" si="23"/>
        <v>0</v>
      </c>
      <c r="S35" s="13"/>
      <c r="T35" s="13"/>
      <c r="U35" s="13"/>
      <c r="V35" s="13"/>
      <c r="W35" s="13"/>
      <c r="X35" s="37"/>
      <c r="Y35" s="67">
        <f>SUM(Z35:AD35)</f>
        <v>0</v>
      </c>
      <c r="Z35" s="97"/>
      <c r="AA35" s="97"/>
      <c r="AB35" s="97"/>
      <c r="AC35" s="97"/>
      <c r="AD35" s="97"/>
      <c r="AE35" s="97"/>
      <c r="AF35" s="14">
        <f>AJ35</f>
        <v>0</v>
      </c>
      <c r="AG35" s="37"/>
      <c r="AH35" s="37"/>
      <c r="AI35" s="37"/>
      <c r="AJ35" s="139"/>
      <c r="AK35" s="37"/>
      <c r="AL35" s="37"/>
      <c r="AM35" s="15">
        <f>SUM(AN35:AR35)</f>
        <v>0</v>
      </c>
      <c r="AN35" s="13"/>
      <c r="AO35" s="13"/>
      <c r="AP35" s="13"/>
      <c r="AQ35" s="13"/>
      <c r="AR35" s="13"/>
      <c r="AS35" s="37"/>
      <c r="AT35" s="14">
        <f>SUM(AU35:AZ35)</f>
        <v>0</v>
      </c>
      <c r="AU35" s="37"/>
      <c r="AV35" s="37"/>
      <c r="AW35" s="37"/>
      <c r="AX35" s="37"/>
      <c r="AY35" s="37"/>
      <c r="AZ35" s="13"/>
    </row>
    <row r="36" spans="1:52" ht="43.5" customHeight="1" thickBot="1">
      <c r="A36" s="78"/>
      <c r="B36" s="79" t="s">
        <v>26</v>
      </c>
      <c r="C36" s="80"/>
      <c r="D36" s="75">
        <f t="shared" si="22"/>
        <v>800.329</v>
      </c>
      <c r="E36" s="81"/>
      <c r="F36" s="81"/>
      <c r="G36" s="81"/>
      <c r="H36" s="81"/>
      <c r="I36" s="34">
        <v>800.329</v>
      </c>
      <c r="J36" s="96"/>
      <c r="K36" s="82">
        <f t="shared" si="18"/>
        <v>20.999988754624663</v>
      </c>
      <c r="L36" s="83"/>
      <c r="M36" s="83"/>
      <c r="N36" s="83"/>
      <c r="O36" s="83"/>
      <c r="P36" s="84">
        <v>21</v>
      </c>
      <c r="Q36" s="84"/>
      <c r="R36" s="14">
        <f t="shared" si="23"/>
        <v>16806.9</v>
      </c>
      <c r="S36" s="83"/>
      <c r="T36" s="83"/>
      <c r="U36" s="83"/>
      <c r="V36" s="83"/>
      <c r="W36" s="83">
        <v>16806.9</v>
      </c>
      <c r="X36" s="84"/>
      <c r="Y36" s="87">
        <f>SUM(Z36:AD36)</f>
        <v>800.3285714285715</v>
      </c>
      <c r="Z36" s="99"/>
      <c r="AA36" s="99"/>
      <c r="AB36" s="99"/>
      <c r="AC36" s="99"/>
      <c r="AD36" s="99">
        <f>AR36/AK36</f>
        <v>800.3285714285715</v>
      </c>
      <c r="AE36" s="99"/>
      <c r="AF36" s="85">
        <f>AK36</f>
        <v>21</v>
      </c>
      <c r="AG36" s="84"/>
      <c r="AH36" s="84"/>
      <c r="AI36" s="84"/>
      <c r="AJ36" s="84"/>
      <c r="AK36" s="84">
        <v>21</v>
      </c>
      <c r="AL36" s="84"/>
      <c r="AM36" s="86">
        <f>SUM(AN36:AR36)</f>
        <v>16806.9</v>
      </c>
      <c r="AN36" s="83"/>
      <c r="AO36" s="83"/>
      <c r="AP36" s="83"/>
      <c r="AQ36" s="83"/>
      <c r="AR36" s="83">
        <v>16806.9</v>
      </c>
      <c r="AS36" s="84"/>
      <c r="AT36" s="14">
        <f>SUM(AU36:AZ36)</f>
        <v>0</v>
      </c>
      <c r="AU36" s="36"/>
      <c r="AV36" s="36"/>
      <c r="AW36" s="36"/>
      <c r="AX36" s="36"/>
      <c r="AY36" s="37">
        <f>(P36-AK36)*I36</f>
        <v>0</v>
      </c>
      <c r="AZ36" s="50"/>
    </row>
    <row r="37" spans="1:65" s="29" customFormat="1" ht="36.75" customHeight="1" thickBot="1">
      <c r="A37" s="23">
        <v>4</v>
      </c>
      <c r="B37" s="24" t="s">
        <v>3</v>
      </c>
      <c r="C37" s="24" t="s">
        <v>5</v>
      </c>
      <c r="D37" s="59">
        <f aca="true" t="shared" si="24" ref="D37:J37">SUM(D38:D46)</f>
        <v>85600.5739434978</v>
      </c>
      <c r="E37" s="27">
        <f t="shared" si="24"/>
        <v>9245.5802259887</v>
      </c>
      <c r="F37" s="59">
        <f t="shared" si="24"/>
        <v>39198.6177175091</v>
      </c>
      <c r="G37" s="27">
        <f t="shared" si="24"/>
        <v>16675.32</v>
      </c>
      <c r="H37" s="27">
        <f t="shared" si="24"/>
        <v>9733.31</v>
      </c>
      <c r="I37" s="59">
        <f t="shared" si="24"/>
        <v>10747.746000000001</v>
      </c>
      <c r="J37" s="27">
        <f t="shared" si="24"/>
        <v>0</v>
      </c>
      <c r="K37" s="28">
        <f t="shared" si="18"/>
        <v>20.346836122262932</v>
      </c>
      <c r="L37" s="28">
        <f>S37/E37</f>
        <v>17.700000000000003</v>
      </c>
      <c r="M37" s="28">
        <f>T37/F37</f>
        <v>22.335389127992833</v>
      </c>
      <c r="N37" s="28">
        <f>U37/G37</f>
        <v>20.12245282249456</v>
      </c>
      <c r="O37" s="28">
        <f>V37/H37</f>
        <v>17.833352682694787</v>
      </c>
      <c r="P37" s="28">
        <f>W37/I37</f>
        <v>17.995569489639966</v>
      </c>
      <c r="Q37" s="28"/>
      <c r="R37" s="27">
        <f aca="true" t="shared" si="25" ref="R37:AE37">SUM(R38:R46)</f>
        <v>1741700.8500000003</v>
      </c>
      <c r="S37" s="61">
        <f t="shared" si="25"/>
        <v>163646.77000000002</v>
      </c>
      <c r="T37" s="61">
        <f t="shared" si="25"/>
        <v>875516.38</v>
      </c>
      <c r="U37" s="61">
        <f t="shared" si="25"/>
        <v>335548.33999999997</v>
      </c>
      <c r="V37" s="61">
        <f t="shared" si="25"/>
        <v>173577.55</v>
      </c>
      <c r="W37" s="61">
        <f t="shared" si="25"/>
        <v>193411.81</v>
      </c>
      <c r="X37" s="61">
        <f t="shared" si="25"/>
        <v>0</v>
      </c>
      <c r="Y37" s="59">
        <f t="shared" si="25"/>
        <v>86306.05296713018</v>
      </c>
      <c r="Z37" s="59">
        <f t="shared" si="25"/>
        <v>9178.909039548022</v>
      </c>
      <c r="AA37" s="59">
        <f t="shared" si="25"/>
        <v>39374.826</v>
      </c>
      <c r="AB37" s="59">
        <f t="shared" si="25"/>
        <v>17156.545313964383</v>
      </c>
      <c r="AC37" s="59">
        <f t="shared" si="25"/>
        <v>9954.373724728881</v>
      </c>
      <c r="AD37" s="59">
        <f t="shared" si="25"/>
        <v>10641.398888888889</v>
      </c>
      <c r="AE37" s="59">
        <f t="shared" si="25"/>
        <v>0</v>
      </c>
      <c r="AF37" s="86">
        <f>AM37/Y37</f>
        <v>20.33934735340696</v>
      </c>
      <c r="AG37" s="101">
        <f>AG40</f>
        <v>17.7</v>
      </c>
      <c r="AH37" s="101">
        <f>AO37/AA37</f>
        <v>22.32533675196431</v>
      </c>
      <c r="AI37" s="101">
        <f>AP37/AB37</f>
        <v>20.11262895212007</v>
      </c>
      <c r="AJ37" s="101">
        <f>AQ37/AC37</f>
        <v>17.808999832867773</v>
      </c>
      <c r="AK37" s="27">
        <f>AK40</f>
        <v>18</v>
      </c>
      <c r="AL37" s="27"/>
      <c r="AM37" s="27">
        <f aca="true" t="shared" si="26" ref="AM37:AZ37">SUM(AM38:AM46)</f>
        <v>1755408.7900000003</v>
      </c>
      <c r="AN37" s="27">
        <f t="shared" si="26"/>
        <v>162466.69</v>
      </c>
      <c r="AO37" s="27">
        <f t="shared" si="26"/>
        <v>879056.25</v>
      </c>
      <c r="AP37" s="27">
        <f t="shared" si="26"/>
        <v>345063.23</v>
      </c>
      <c r="AQ37" s="27">
        <f t="shared" si="26"/>
        <v>177277.44</v>
      </c>
      <c r="AR37" s="27">
        <f t="shared" si="26"/>
        <v>191545.18</v>
      </c>
      <c r="AS37" s="27">
        <f t="shared" si="26"/>
        <v>0</v>
      </c>
      <c r="AT37" s="118">
        <f t="shared" si="26"/>
        <v>-95.2586000000149</v>
      </c>
      <c r="AU37" s="27">
        <f t="shared" si="26"/>
        <v>0</v>
      </c>
      <c r="AV37" s="27">
        <f t="shared" si="26"/>
        <v>0</v>
      </c>
      <c r="AW37" s="27">
        <f t="shared" si="26"/>
        <v>0</v>
      </c>
      <c r="AX37" s="27">
        <f t="shared" si="26"/>
        <v>0</v>
      </c>
      <c r="AY37" s="27">
        <f t="shared" si="26"/>
        <v>-95.2586000000149</v>
      </c>
      <c r="AZ37" s="27">
        <f t="shared" si="26"/>
        <v>0</v>
      </c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</row>
    <row r="38" spans="1:52" s="4" customFormat="1" ht="56.25" customHeight="1">
      <c r="A38" s="123"/>
      <c r="B38" s="124" t="s">
        <v>39</v>
      </c>
      <c r="C38" s="72"/>
      <c r="D38" s="63">
        <f>SUM(E38:I38)</f>
        <v>14122.836981132075</v>
      </c>
      <c r="E38" s="37"/>
      <c r="F38" s="128">
        <f>T38/M38</f>
        <v>14122.836981132075</v>
      </c>
      <c r="G38" s="37"/>
      <c r="H38" s="37"/>
      <c r="I38" s="37"/>
      <c r="J38" s="37"/>
      <c r="K38" s="63">
        <f t="shared" si="18"/>
        <v>26.5</v>
      </c>
      <c r="L38" s="73"/>
      <c r="M38" s="143">
        <v>26.5</v>
      </c>
      <c r="N38" s="73"/>
      <c r="O38" s="73"/>
      <c r="P38" s="73"/>
      <c r="Q38" s="37"/>
      <c r="R38" s="15">
        <f>SUM(S38:W38)</f>
        <v>374255.18</v>
      </c>
      <c r="S38" s="13"/>
      <c r="T38" s="13">
        <v>374255.18</v>
      </c>
      <c r="U38" s="13"/>
      <c r="V38" s="13"/>
      <c r="W38" s="13"/>
      <c r="X38" s="13"/>
      <c r="Y38" s="67">
        <f>SUM(Z38:AD38)</f>
        <v>14122.837</v>
      </c>
      <c r="Z38" s="97"/>
      <c r="AA38" s="97">
        <f>ROUND(AO38/AH38,3)</f>
        <v>14122.837</v>
      </c>
      <c r="AB38" s="97"/>
      <c r="AC38" s="97"/>
      <c r="AD38" s="97"/>
      <c r="AE38" s="97"/>
      <c r="AF38" s="14">
        <f>AH38</f>
        <v>26.5</v>
      </c>
      <c r="AG38" s="37"/>
      <c r="AH38" s="37">
        <v>26.5</v>
      </c>
      <c r="AI38" s="13"/>
      <c r="AJ38" s="13"/>
      <c r="AK38" s="13"/>
      <c r="AL38" s="37"/>
      <c r="AM38" s="15">
        <f>SUM(AN38:AR38)</f>
        <v>374255.19</v>
      </c>
      <c r="AN38" s="13"/>
      <c r="AO38" s="13">
        <f>16184.54+358070.65</f>
        <v>374255.19</v>
      </c>
      <c r="AP38" s="13"/>
      <c r="AQ38" s="13"/>
      <c r="AR38" s="13"/>
      <c r="AS38" s="13"/>
      <c r="AT38" s="15">
        <f>SUM(AU38:AY38)</f>
        <v>0</v>
      </c>
      <c r="AU38" s="37"/>
      <c r="AV38" s="37">
        <f>(M38-AH38)*F38</f>
        <v>0</v>
      </c>
      <c r="AW38" s="37"/>
      <c r="AX38" s="37"/>
      <c r="AY38" s="37"/>
      <c r="AZ38" s="13"/>
    </row>
    <row r="39" spans="1:52" ht="45.75" customHeight="1">
      <c r="A39" s="38"/>
      <c r="B39" s="39" t="s">
        <v>24</v>
      </c>
      <c r="C39" s="40"/>
      <c r="D39" s="14">
        <f>SUM(E39:I39)</f>
        <v>577.48</v>
      </c>
      <c r="E39" s="13"/>
      <c r="F39" s="13"/>
      <c r="G39" s="13">
        <v>577.48</v>
      </c>
      <c r="H39" s="13"/>
      <c r="I39" s="13"/>
      <c r="J39" s="13"/>
      <c r="K39" s="14">
        <f t="shared" si="18"/>
        <v>29.1000034633234</v>
      </c>
      <c r="L39" s="13"/>
      <c r="M39" s="13"/>
      <c r="N39" s="13">
        <v>29.1</v>
      </c>
      <c r="O39" s="13"/>
      <c r="P39" s="13"/>
      <c r="Q39" s="13"/>
      <c r="R39" s="14">
        <f>SUM(S39:W39)</f>
        <v>16804.67</v>
      </c>
      <c r="S39" s="13"/>
      <c r="T39" s="13"/>
      <c r="U39" s="13">
        <v>16804.67</v>
      </c>
      <c r="V39" s="13"/>
      <c r="W39" s="13"/>
      <c r="X39" s="13"/>
      <c r="Y39" s="64">
        <f>SUM(Z39:AD39)</f>
        <v>576.7347079037801</v>
      </c>
      <c r="Z39" s="65"/>
      <c r="AA39" s="65"/>
      <c r="AB39" s="65">
        <f>AP39/AI39</f>
        <v>576.7347079037801</v>
      </c>
      <c r="AC39" s="65"/>
      <c r="AD39" s="65"/>
      <c r="AE39" s="97"/>
      <c r="AF39" s="14">
        <f>AI39</f>
        <v>29.1</v>
      </c>
      <c r="AG39" s="127"/>
      <c r="AH39" s="13"/>
      <c r="AI39" s="127">
        <v>29.1</v>
      </c>
      <c r="AJ39" s="13"/>
      <c r="AK39" s="13"/>
      <c r="AL39" s="13"/>
      <c r="AM39" s="14">
        <f>SUM(AN39:AR39)</f>
        <v>16782.98</v>
      </c>
      <c r="AN39" s="13"/>
      <c r="AO39" s="13"/>
      <c r="AP39" s="13">
        <f>4691.93+12091.05</f>
        <v>16782.98</v>
      </c>
      <c r="AQ39" s="13"/>
      <c r="AR39" s="13"/>
      <c r="AS39" s="13"/>
      <c r="AT39" s="15">
        <f>SUM(AU39:AY39)</f>
        <v>0</v>
      </c>
      <c r="AU39" s="37"/>
      <c r="AV39" s="37"/>
      <c r="AW39" s="37">
        <f>(N39-AI39)*G39</f>
        <v>0</v>
      </c>
      <c r="AX39" s="37"/>
      <c r="AY39" s="37"/>
      <c r="AZ39" s="13"/>
    </row>
    <row r="40" spans="1:52" ht="46.5" customHeight="1">
      <c r="A40" s="9"/>
      <c r="B40" s="43" t="s">
        <v>25</v>
      </c>
      <c r="C40" s="10"/>
      <c r="D40" s="15">
        <f aca="true" t="shared" si="27" ref="D40:D46">SUM(E40:I40)</f>
        <v>37739.2702259887</v>
      </c>
      <c r="E40" s="34">
        <f>S40/L40</f>
        <v>4291.880225988701</v>
      </c>
      <c r="F40" s="34">
        <v>1169.19</v>
      </c>
      <c r="G40" s="34">
        <v>16097.84</v>
      </c>
      <c r="H40" s="34">
        <v>6654.5</v>
      </c>
      <c r="I40" s="34">
        <v>9525.86</v>
      </c>
      <c r="J40" s="96"/>
      <c r="K40" s="120">
        <f t="shared" si="18"/>
        <v>19.10582784675747</v>
      </c>
      <c r="L40" s="37">
        <v>17.7</v>
      </c>
      <c r="M40" s="37">
        <v>19.8</v>
      </c>
      <c r="N40" s="37">
        <f>M40</f>
        <v>19.8</v>
      </c>
      <c r="O40" s="37">
        <f>N40</f>
        <v>19.8</v>
      </c>
      <c r="P40" s="37">
        <v>17.99</v>
      </c>
      <c r="Q40" s="37"/>
      <c r="R40" s="15">
        <f aca="true" t="shared" si="28" ref="R40:R46">SUM(S40:W40)</f>
        <v>721040</v>
      </c>
      <c r="S40" s="37">
        <v>75966.28</v>
      </c>
      <c r="T40" s="37">
        <v>23150.43</v>
      </c>
      <c r="U40" s="37">
        <v>318743.67</v>
      </c>
      <c r="V40" s="37">
        <v>131761.77</v>
      </c>
      <c r="W40" s="37">
        <v>171417.85</v>
      </c>
      <c r="X40" s="37"/>
      <c r="Y40" s="67">
        <f aca="true" t="shared" si="29" ref="Y40:Y46">SUM(Z40:AD40)</f>
        <v>38256.28852114364</v>
      </c>
      <c r="Z40" s="97">
        <f>AN40/AG40</f>
        <v>4314.770056497175</v>
      </c>
      <c r="AA40" s="97">
        <f>ROUND(AO40/AH40,3)</f>
        <v>1174.182</v>
      </c>
      <c r="AB40" s="97">
        <f>AP40/AI40</f>
        <v>16579.810606060604</v>
      </c>
      <c r="AC40" s="97">
        <f>AQ40/AJ40</f>
        <v>6768.013636363637</v>
      </c>
      <c r="AD40" s="97">
        <f>AR40/AK40</f>
        <v>9419.512222222222</v>
      </c>
      <c r="AE40" s="97"/>
      <c r="AF40" s="15">
        <f>AM40/Y40</f>
        <v>19.11995121000132</v>
      </c>
      <c r="AG40" s="37">
        <v>17.7</v>
      </c>
      <c r="AH40" s="37">
        <v>19.8</v>
      </c>
      <c r="AI40" s="37">
        <f>AH40</f>
        <v>19.8</v>
      </c>
      <c r="AJ40" s="37">
        <f>AH40</f>
        <v>19.8</v>
      </c>
      <c r="AK40" s="37">
        <v>18</v>
      </c>
      <c r="AL40" s="37"/>
      <c r="AM40" s="15">
        <f aca="true" t="shared" si="30" ref="AM40:AM46">SUM(AN40:AR40)</f>
        <v>731458.37</v>
      </c>
      <c r="AN40" s="37">
        <f>76371.43</f>
        <v>76371.43</v>
      </c>
      <c r="AO40" s="37">
        <f>98.8+138.6+23150-138.6</f>
        <v>23248.800000000003</v>
      </c>
      <c r="AP40" s="37">
        <f>45621.52-1138.62+107800.54+175996.81</f>
        <v>328280.25</v>
      </c>
      <c r="AQ40" s="37">
        <f>134006.67</f>
        <v>134006.67</v>
      </c>
      <c r="AR40" s="37">
        <f>21156.87+148394.35</f>
        <v>169551.22</v>
      </c>
      <c r="AS40" s="37"/>
      <c r="AT40" s="15">
        <f aca="true" t="shared" si="31" ref="AT40:AT46">SUM(AU40:AY40)</f>
        <v>-95.2586000000149</v>
      </c>
      <c r="AU40" s="37">
        <f>(L40-AG40)*E40</f>
        <v>0</v>
      </c>
      <c r="AV40" s="37">
        <f>(M40-AH40)*F40</f>
        <v>0</v>
      </c>
      <c r="AW40" s="37">
        <f>(N40-AI40)*G40</f>
        <v>0</v>
      </c>
      <c r="AX40" s="37">
        <f>(O40-AJ40)*H40</f>
        <v>0</v>
      </c>
      <c r="AY40" s="37">
        <f>(P40-AK40)*I40</f>
        <v>-95.2586000000149</v>
      </c>
      <c r="AZ40" s="37"/>
    </row>
    <row r="41" spans="1:52" ht="47.25" customHeight="1">
      <c r="A41" s="38"/>
      <c r="B41" s="43" t="s">
        <v>29</v>
      </c>
      <c r="C41" s="10"/>
      <c r="D41" s="15">
        <f t="shared" si="27"/>
        <v>3078.81</v>
      </c>
      <c r="E41" s="13"/>
      <c r="F41" s="13"/>
      <c r="G41" s="13"/>
      <c r="H41" s="65">
        <v>3078.81</v>
      </c>
      <c r="I41" s="13"/>
      <c r="J41" s="13"/>
      <c r="K41" s="14">
        <f t="shared" si="18"/>
        <v>13.581799461480248</v>
      </c>
      <c r="L41" s="37"/>
      <c r="M41" s="37"/>
      <c r="N41" s="37"/>
      <c r="O41" s="37">
        <v>13.58</v>
      </c>
      <c r="P41" s="37"/>
      <c r="Q41" s="37"/>
      <c r="R41" s="15">
        <f t="shared" si="28"/>
        <v>41815.78</v>
      </c>
      <c r="S41" s="13"/>
      <c r="T41" s="13"/>
      <c r="U41" s="13"/>
      <c r="V41" s="13">
        <v>41815.78</v>
      </c>
      <c r="W41" s="13"/>
      <c r="X41" s="37"/>
      <c r="Y41" s="67">
        <f t="shared" si="29"/>
        <v>3186.3600883652434</v>
      </c>
      <c r="Z41" s="97"/>
      <c r="AA41" s="65"/>
      <c r="AB41" s="97"/>
      <c r="AC41" s="97">
        <f>AQ41/AJ41</f>
        <v>3186.3600883652434</v>
      </c>
      <c r="AD41" s="97"/>
      <c r="AE41" s="97"/>
      <c r="AF41" s="14">
        <f>AJ41</f>
        <v>13.58</v>
      </c>
      <c r="AG41" s="37"/>
      <c r="AH41" s="37"/>
      <c r="AI41" s="13"/>
      <c r="AJ41" s="13">
        <v>13.58</v>
      </c>
      <c r="AK41" s="13"/>
      <c r="AL41" s="37"/>
      <c r="AM41" s="15">
        <f t="shared" si="30"/>
        <v>43270.770000000004</v>
      </c>
      <c r="AN41" s="13"/>
      <c r="AO41" s="13"/>
      <c r="AP41" s="13"/>
      <c r="AQ41" s="13">
        <f>0.04+13794.41+29476.32</f>
        <v>43270.770000000004</v>
      </c>
      <c r="AR41" s="13"/>
      <c r="AS41" s="37"/>
      <c r="AT41" s="15">
        <f t="shared" si="31"/>
        <v>0</v>
      </c>
      <c r="AU41" s="37"/>
      <c r="AV41" s="37"/>
      <c r="AW41" s="37"/>
      <c r="AX41" s="37"/>
      <c r="AY41" s="37"/>
      <c r="AZ41" s="13"/>
    </row>
    <row r="42" spans="1:52" ht="47.25" customHeight="1">
      <c r="A42" s="38"/>
      <c r="B42" s="43" t="s">
        <v>55</v>
      </c>
      <c r="C42" s="10"/>
      <c r="D42" s="15">
        <f>F42</f>
        <v>7.000736377025036</v>
      </c>
      <c r="E42" s="37"/>
      <c r="F42" s="37">
        <f>T42/M42</f>
        <v>7.000736377025036</v>
      </c>
      <c r="G42" s="37"/>
      <c r="H42" s="97"/>
      <c r="I42" s="37"/>
      <c r="J42" s="37"/>
      <c r="K42" s="14">
        <f>M42</f>
        <v>13.58</v>
      </c>
      <c r="L42" s="37"/>
      <c r="M42" s="37">
        <v>13.58</v>
      </c>
      <c r="N42" s="37"/>
      <c r="O42" s="37"/>
      <c r="P42" s="37"/>
      <c r="Q42" s="37"/>
      <c r="R42" s="15">
        <f>T42</f>
        <v>95.07</v>
      </c>
      <c r="S42" s="13"/>
      <c r="T42" s="13">
        <v>95.07</v>
      </c>
      <c r="U42" s="13"/>
      <c r="V42" s="13"/>
      <c r="W42" s="13"/>
      <c r="X42" s="37"/>
      <c r="Y42" s="67">
        <f>AA42</f>
        <v>6.999999999999999</v>
      </c>
      <c r="Z42" s="97"/>
      <c r="AA42" s="97">
        <f>AO42/AH42</f>
        <v>6.999999999999999</v>
      </c>
      <c r="AB42" s="97"/>
      <c r="AC42" s="97"/>
      <c r="AD42" s="97"/>
      <c r="AE42" s="97"/>
      <c r="AF42" s="14">
        <f>AH42</f>
        <v>19.8</v>
      </c>
      <c r="AG42" s="37"/>
      <c r="AH42" s="37">
        <v>19.8</v>
      </c>
      <c r="AI42" s="13"/>
      <c r="AJ42" s="13"/>
      <c r="AK42" s="13"/>
      <c r="AL42" s="37"/>
      <c r="AM42" s="15">
        <f>AO42</f>
        <v>138.6</v>
      </c>
      <c r="AN42" s="13"/>
      <c r="AO42" s="13">
        <v>138.6</v>
      </c>
      <c r="AP42" s="13"/>
      <c r="AQ42" s="13"/>
      <c r="AR42" s="13"/>
      <c r="AS42" s="37"/>
      <c r="AT42" s="15"/>
      <c r="AU42" s="37"/>
      <c r="AV42" s="37"/>
      <c r="AW42" s="37"/>
      <c r="AX42" s="37"/>
      <c r="AY42" s="37"/>
      <c r="AZ42" s="13"/>
    </row>
    <row r="43" spans="1:52" s="4" customFormat="1" ht="39.75" customHeight="1">
      <c r="A43" s="66"/>
      <c r="B43" s="39" t="s">
        <v>44</v>
      </c>
      <c r="C43" s="39"/>
      <c r="D43" s="15">
        <f>SUM(E43:I43)</f>
        <v>0</v>
      </c>
      <c r="E43" s="37"/>
      <c r="F43" s="37"/>
      <c r="G43" s="37"/>
      <c r="H43" s="37"/>
      <c r="I43" s="37"/>
      <c r="J43" s="37"/>
      <c r="K43" s="14" t="e">
        <f t="shared" si="18"/>
        <v>#DIV/0!</v>
      </c>
      <c r="L43" s="13"/>
      <c r="M43" s="37"/>
      <c r="N43" s="13"/>
      <c r="O43" s="139"/>
      <c r="P43" s="37"/>
      <c r="Q43" s="37"/>
      <c r="R43" s="15">
        <f>SUM(S43:W43)</f>
        <v>0</v>
      </c>
      <c r="S43" s="13"/>
      <c r="T43" s="13"/>
      <c r="U43" s="13"/>
      <c r="V43" s="13"/>
      <c r="W43" s="13"/>
      <c r="X43" s="37"/>
      <c r="Y43" s="67">
        <f>SUM(Z43:AD43)</f>
        <v>0</v>
      </c>
      <c r="Z43" s="97"/>
      <c r="AA43" s="97"/>
      <c r="AB43" s="97"/>
      <c r="AC43" s="97"/>
      <c r="AD43" s="97"/>
      <c r="AE43" s="97"/>
      <c r="AF43" s="14">
        <f>AJ43</f>
        <v>0</v>
      </c>
      <c r="AG43" s="37"/>
      <c r="AH43" s="37"/>
      <c r="AI43" s="13"/>
      <c r="AJ43" s="127"/>
      <c r="AK43" s="13"/>
      <c r="AL43" s="37"/>
      <c r="AM43" s="15">
        <f>SUM(AN43:AR43)</f>
        <v>0</v>
      </c>
      <c r="AN43" s="13"/>
      <c r="AO43" s="13"/>
      <c r="AP43" s="13"/>
      <c r="AQ43" s="13"/>
      <c r="AR43" s="13"/>
      <c r="AS43" s="37"/>
      <c r="AT43" s="15">
        <f>SUM(AU43:AY43)</f>
        <v>0</v>
      </c>
      <c r="AU43" s="37"/>
      <c r="AV43" s="37"/>
      <c r="AW43" s="37"/>
      <c r="AX43" s="37"/>
      <c r="AY43" s="37"/>
      <c r="AZ43" s="13"/>
    </row>
    <row r="44" spans="1:52" ht="43.5" customHeight="1">
      <c r="A44" s="66"/>
      <c r="B44" s="39" t="s">
        <v>26</v>
      </c>
      <c r="C44" s="39"/>
      <c r="D44" s="64">
        <f>SUM(E44:I44)</f>
        <v>1221.886</v>
      </c>
      <c r="E44" s="125"/>
      <c r="F44" s="125"/>
      <c r="G44" s="125"/>
      <c r="H44" s="125"/>
      <c r="I44" s="37">
        <v>1221.886</v>
      </c>
      <c r="J44" s="13"/>
      <c r="K44" s="126">
        <f t="shared" si="18"/>
        <v>18.000009820883452</v>
      </c>
      <c r="L44" s="13"/>
      <c r="M44" s="13"/>
      <c r="N44" s="13"/>
      <c r="O44" s="13"/>
      <c r="P44" s="13">
        <v>18</v>
      </c>
      <c r="Q44" s="13"/>
      <c r="R44" s="14">
        <f>SUM(S44:W44)</f>
        <v>21993.96</v>
      </c>
      <c r="S44" s="13"/>
      <c r="T44" s="13"/>
      <c r="U44" s="13"/>
      <c r="V44" s="13"/>
      <c r="W44" s="13">
        <v>21993.96</v>
      </c>
      <c r="X44" s="13"/>
      <c r="Y44" s="64">
        <f>SUM(Z44:AD44)</f>
        <v>1221.8866666666665</v>
      </c>
      <c r="Z44" s="65"/>
      <c r="AA44" s="65"/>
      <c r="AB44" s="65"/>
      <c r="AC44" s="65"/>
      <c r="AD44" s="65">
        <f>AR44/AK44</f>
        <v>1221.8866666666665</v>
      </c>
      <c r="AE44" s="65"/>
      <c r="AF44" s="14">
        <f>AK44</f>
        <v>18</v>
      </c>
      <c r="AG44" s="13"/>
      <c r="AH44" s="13"/>
      <c r="AI44" s="13"/>
      <c r="AJ44" s="13"/>
      <c r="AK44" s="13">
        <v>18</v>
      </c>
      <c r="AL44" s="13"/>
      <c r="AM44" s="14">
        <f>SUM(AN44:AR44)</f>
        <v>21993.96</v>
      </c>
      <c r="AN44" s="13"/>
      <c r="AO44" s="13"/>
      <c r="AP44" s="13"/>
      <c r="AQ44" s="13"/>
      <c r="AR44" s="13">
        <f>7705.79+14288.17</f>
        <v>21993.96</v>
      </c>
      <c r="AS44" s="13"/>
      <c r="AT44" s="14">
        <f>SUM(AU44:AY44)</f>
        <v>0</v>
      </c>
      <c r="AU44" s="37"/>
      <c r="AV44" s="37"/>
      <c r="AW44" s="37"/>
      <c r="AX44" s="37"/>
      <c r="AY44" s="37">
        <f>(P44-AK44)*I44</f>
        <v>0</v>
      </c>
      <c r="AZ44" s="13"/>
    </row>
    <row r="45" spans="1:52" ht="81.75" customHeight="1">
      <c r="A45" s="9"/>
      <c r="B45" s="43" t="s">
        <v>27</v>
      </c>
      <c r="C45" s="10"/>
      <c r="D45" s="15">
        <f t="shared" si="27"/>
        <v>9514.29</v>
      </c>
      <c r="E45" s="97">
        <v>4953.7</v>
      </c>
      <c r="F45" s="97">
        <v>4560.59</v>
      </c>
      <c r="G45" s="37"/>
      <c r="H45" s="37"/>
      <c r="I45" s="37"/>
      <c r="J45" s="37"/>
      <c r="K45" s="15">
        <f t="shared" si="18"/>
        <v>18.80296375241873</v>
      </c>
      <c r="L45" s="37">
        <v>17.7</v>
      </c>
      <c r="M45" s="37">
        <v>20</v>
      </c>
      <c r="N45" s="37"/>
      <c r="O45" s="37"/>
      <c r="P45" s="37"/>
      <c r="Q45" s="37"/>
      <c r="R45" s="15">
        <f t="shared" si="28"/>
        <v>178896.85</v>
      </c>
      <c r="S45" s="37">
        <v>87680.49</v>
      </c>
      <c r="T45" s="37">
        <v>91216.36</v>
      </c>
      <c r="U45" s="37"/>
      <c r="V45" s="37"/>
      <c r="W45" s="37"/>
      <c r="X45" s="37"/>
      <c r="Y45" s="67">
        <f t="shared" si="29"/>
        <v>9584.945983050846</v>
      </c>
      <c r="Z45" s="97">
        <f>AN45/AG45</f>
        <v>4864.138983050847</v>
      </c>
      <c r="AA45" s="97">
        <f>ROUND(AO45/AH45,3)</f>
        <v>4720.807</v>
      </c>
      <c r="AB45" s="97"/>
      <c r="AC45" s="97"/>
      <c r="AD45" s="97"/>
      <c r="AE45" s="97"/>
      <c r="AF45" s="15">
        <f>AM45/Y45</f>
        <v>18.83280201257264</v>
      </c>
      <c r="AG45" s="37">
        <v>17.7</v>
      </c>
      <c r="AH45" s="37">
        <v>20</v>
      </c>
      <c r="AI45" s="37"/>
      <c r="AJ45" s="37"/>
      <c r="AK45" s="37"/>
      <c r="AL45" s="37"/>
      <c r="AM45" s="15">
        <f>SUM(AN45:AS45)</f>
        <v>180511.39</v>
      </c>
      <c r="AN45" s="37">
        <f>6453.51+79641.75</f>
        <v>86095.26</v>
      </c>
      <c r="AO45" s="37">
        <f>31866.5+62549.63</f>
        <v>94416.13</v>
      </c>
      <c r="AP45" s="37"/>
      <c r="AQ45" s="37"/>
      <c r="AR45" s="37"/>
      <c r="AS45" s="37"/>
      <c r="AT45" s="15">
        <f t="shared" si="31"/>
        <v>0</v>
      </c>
      <c r="AU45" s="37">
        <f>(L45-AG45)*E45</f>
        <v>0</v>
      </c>
      <c r="AV45" s="37">
        <f>(M45-AH45)*F45</f>
        <v>0</v>
      </c>
      <c r="AW45" s="37"/>
      <c r="AX45" s="37"/>
      <c r="AY45" s="37"/>
      <c r="AZ45" s="13"/>
    </row>
    <row r="46" spans="1:52" ht="81.75" customHeight="1" thickBot="1">
      <c r="A46" s="38"/>
      <c r="B46" s="39" t="s">
        <v>28</v>
      </c>
      <c r="C46" s="40"/>
      <c r="D46" s="15">
        <f t="shared" si="27"/>
        <v>19339</v>
      </c>
      <c r="E46" s="13"/>
      <c r="F46" s="65">
        <v>19339</v>
      </c>
      <c r="G46" s="37"/>
      <c r="H46" s="37"/>
      <c r="I46" s="37"/>
      <c r="J46" s="37"/>
      <c r="K46" s="14">
        <f t="shared" si="18"/>
        <v>20.00100005170898</v>
      </c>
      <c r="L46" s="13"/>
      <c r="M46" s="144">
        <v>20</v>
      </c>
      <c r="N46" s="37"/>
      <c r="O46" s="37"/>
      <c r="P46" s="37"/>
      <c r="Q46" s="37"/>
      <c r="R46" s="15">
        <f t="shared" si="28"/>
        <v>386799.34</v>
      </c>
      <c r="S46" s="13"/>
      <c r="T46" s="13">
        <v>386799.34</v>
      </c>
      <c r="U46" s="13"/>
      <c r="V46" s="13"/>
      <c r="W46" s="13"/>
      <c r="X46" s="37"/>
      <c r="Y46" s="67">
        <f t="shared" si="29"/>
        <v>19350</v>
      </c>
      <c r="Z46" s="97"/>
      <c r="AA46" s="97">
        <f>ROUND(AO46/AH46,0)</f>
        <v>19350</v>
      </c>
      <c r="AB46" s="97" t="s">
        <v>34</v>
      </c>
      <c r="AC46" s="97"/>
      <c r="AD46" s="97"/>
      <c r="AE46" s="97"/>
      <c r="AF46" s="14">
        <f>AH46</f>
        <v>20</v>
      </c>
      <c r="AG46" s="37"/>
      <c r="AH46" s="37">
        <v>20</v>
      </c>
      <c r="AI46" s="13"/>
      <c r="AJ46" s="13"/>
      <c r="AK46" s="13"/>
      <c r="AL46" s="37"/>
      <c r="AM46" s="15">
        <f t="shared" si="30"/>
        <v>386997.53</v>
      </c>
      <c r="AN46" s="13"/>
      <c r="AO46" s="13">
        <f>138886.54+248110.99</f>
        <v>386997.53</v>
      </c>
      <c r="AP46" s="13"/>
      <c r="AQ46" s="13"/>
      <c r="AR46" s="13"/>
      <c r="AS46" s="37"/>
      <c r="AT46" s="15">
        <f t="shared" si="31"/>
        <v>0</v>
      </c>
      <c r="AU46" s="37"/>
      <c r="AV46" s="37">
        <f>(M46-AH46)*F46</f>
        <v>0</v>
      </c>
      <c r="AW46" s="37"/>
      <c r="AX46" s="37"/>
      <c r="AY46" s="37"/>
      <c r="AZ46" s="13"/>
    </row>
    <row r="47" spans="1:65" s="91" customFormat="1" ht="27.75" customHeight="1" thickBot="1">
      <c r="A47" s="88"/>
      <c r="B47" s="89" t="s">
        <v>54</v>
      </c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>
        <f aca="true" t="shared" si="32" ref="R47:X47">R37+R27+R19+R7</f>
        <v>4658318.72</v>
      </c>
      <c r="S47" s="90">
        <f t="shared" si="32"/>
        <v>387281.30000000005</v>
      </c>
      <c r="T47" s="90">
        <f t="shared" si="32"/>
        <v>2498775.36</v>
      </c>
      <c r="U47" s="90">
        <f t="shared" si="32"/>
        <v>835898.08</v>
      </c>
      <c r="V47" s="90">
        <f t="shared" si="32"/>
        <v>387107.23</v>
      </c>
      <c r="W47" s="90">
        <f t="shared" si="32"/>
        <v>524220.79000000004</v>
      </c>
      <c r="X47" s="90">
        <f t="shared" si="32"/>
        <v>25035.96</v>
      </c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>
        <f aca="true" t="shared" si="33" ref="AM47:AZ47">AM37+AM27+AM19+AM7</f>
        <v>4741868.19</v>
      </c>
      <c r="AN47" s="90">
        <f t="shared" si="33"/>
        <v>382962.76</v>
      </c>
      <c r="AO47" s="90">
        <f t="shared" si="33"/>
        <v>2567717.66</v>
      </c>
      <c r="AP47" s="90">
        <f t="shared" si="33"/>
        <v>860308.55</v>
      </c>
      <c r="AQ47" s="90">
        <f t="shared" si="33"/>
        <v>391006.64</v>
      </c>
      <c r="AR47" s="90">
        <f t="shared" si="33"/>
        <v>514839.47</v>
      </c>
      <c r="AS47" s="90">
        <f t="shared" si="33"/>
        <v>25033.11</v>
      </c>
      <c r="AT47" s="90">
        <f t="shared" si="33"/>
        <v>935.3904769999849</v>
      </c>
      <c r="AU47" s="90">
        <f t="shared" si="33"/>
        <v>2.1409809999983542</v>
      </c>
      <c r="AV47" s="90">
        <f t="shared" si="33"/>
        <v>0</v>
      </c>
      <c r="AW47" s="90">
        <f t="shared" si="33"/>
        <v>1.6198400000008288</v>
      </c>
      <c r="AX47" s="90">
        <f t="shared" si="33"/>
        <v>0</v>
      </c>
      <c r="AY47" s="90">
        <f t="shared" si="33"/>
        <v>932.4114459999851</v>
      </c>
      <c r="AZ47" s="90">
        <f t="shared" si="33"/>
        <v>-0.781789999999289</v>
      </c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</row>
    <row r="48" spans="5:25" ht="25.5" customHeight="1">
      <c r="E48" s="6"/>
      <c r="Y48" s="6"/>
    </row>
    <row r="49" spans="2:57" ht="55.5" customHeight="1">
      <c r="B49" s="208"/>
      <c r="C49" s="208"/>
      <c r="D49" s="208"/>
      <c r="E49" s="208"/>
      <c r="U49" s="208"/>
      <c r="V49" s="208"/>
      <c r="W49" s="94"/>
      <c r="X49" s="94"/>
      <c r="Y49" s="94"/>
      <c r="Z49" s="94"/>
      <c r="AT49" s="213" t="s">
        <v>19</v>
      </c>
      <c r="AU49" s="213"/>
      <c r="AV49" s="213"/>
      <c r="AW49" s="213"/>
      <c r="AY49" s="214" t="s">
        <v>45</v>
      </c>
      <c r="AZ49" s="214"/>
      <c r="BA49" s="208"/>
      <c r="BB49" s="208"/>
      <c r="BC49" s="208"/>
      <c r="BD49" s="208"/>
      <c r="BE49" s="208"/>
    </row>
    <row r="50" spans="5:26" ht="55.5" customHeight="1">
      <c r="E50" s="6"/>
      <c r="Y50" s="6"/>
      <c r="Z50" s="6"/>
    </row>
    <row r="51" spans="5:54" ht="26.25">
      <c r="E51" s="6"/>
      <c r="Y51" s="6"/>
      <c r="Z51" s="6"/>
      <c r="AT51" s="6"/>
      <c r="AV51" s="93"/>
      <c r="BA51" s="6"/>
      <c r="BB51" s="6"/>
    </row>
    <row r="52" spans="5:26" ht="26.25">
      <c r="E52" s="6"/>
      <c r="Y52" s="6"/>
      <c r="Z52" s="6"/>
    </row>
    <row r="53" spans="5:26" ht="26.25">
      <c r="E53" s="6"/>
      <c r="Y53" s="6"/>
      <c r="Z53" s="6"/>
    </row>
    <row r="54" spans="5:26" ht="26.25">
      <c r="E54" s="6"/>
      <c r="Y54" s="6"/>
      <c r="Z54" s="6"/>
    </row>
    <row r="55" spans="5:26" ht="26.25">
      <c r="E55" s="6"/>
      <c r="Y55" s="6"/>
      <c r="Z55" s="6"/>
    </row>
    <row r="56" spans="5:26" ht="26.25">
      <c r="E56" s="6"/>
      <c r="Y56" s="6"/>
      <c r="Z56" s="6"/>
    </row>
    <row r="57" spans="5:26" ht="26.25">
      <c r="E57" s="6"/>
      <c r="Y57" s="6"/>
      <c r="Z57" s="6"/>
    </row>
    <row r="58" spans="5:26" ht="26.25">
      <c r="E58" s="6"/>
      <c r="Y58" s="6"/>
      <c r="Z58" s="6"/>
    </row>
    <row r="59" spans="5:26" ht="26.25">
      <c r="E59" s="6"/>
      <c r="Y59" s="6"/>
      <c r="Z59" s="6"/>
    </row>
    <row r="60" spans="5:26" ht="26.25">
      <c r="E60" s="6"/>
      <c r="Y60" s="6"/>
      <c r="Z60" s="6"/>
    </row>
    <row r="61" spans="5:26" ht="26.25">
      <c r="E61" s="6"/>
      <c r="Y61" s="6"/>
      <c r="Z61" s="6"/>
    </row>
    <row r="62" spans="5:26" ht="26.25">
      <c r="E62" s="6"/>
      <c r="Y62" s="6"/>
      <c r="Z62" s="6"/>
    </row>
    <row r="63" spans="5:26" ht="26.25">
      <c r="E63" s="6"/>
      <c r="Y63" s="6"/>
      <c r="Z63" s="6"/>
    </row>
    <row r="64" spans="5:26" ht="26.25">
      <c r="E64" s="6"/>
      <c r="Y64" s="6"/>
      <c r="Z64" s="6"/>
    </row>
    <row r="65" spans="5:26" ht="26.25">
      <c r="E65" s="6"/>
      <c r="Y65" s="6"/>
      <c r="Z65" s="6"/>
    </row>
    <row r="66" spans="5:26" ht="26.25">
      <c r="E66" s="6"/>
      <c r="Y66" s="6"/>
      <c r="Z66" s="6"/>
    </row>
    <row r="67" spans="5:26" ht="26.25">
      <c r="E67" s="6"/>
      <c r="Y67" s="6"/>
      <c r="Z67" s="6"/>
    </row>
    <row r="68" spans="5:26" ht="26.25">
      <c r="E68" s="6"/>
      <c r="Y68" s="6"/>
      <c r="Z68" s="6"/>
    </row>
    <row r="69" spans="5:26" ht="26.25">
      <c r="E69" s="6"/>
      <c r="Y69" s="6"/>
      <c r="Z69" s="6"/>
    </row>
    <row r="70" spans="5:26" ht="26.25">
      <c r="E70" s="6"/>
      <c r="Y70" s="6"/>
      <c r="Z70" s="6"/>
    </row>
    <row r="71" spans="5:26" ht="26.25">
      <c r="E71" s="6"/>
      <c r="Y71" s="6"/>
      <c r="Z71" s="6"/>
    </row>
    <row r="72" spans="5:26" ht="26.25">
      <c r="E72" s="6"/>
      <c r="Y72" s="6"/>
      <c r="Z72" s="6"/>
    </row>
    <row r="73" spans="5:26" ht="26.25">
      <c r="E73" s="6"/>
      <c r="Y73" s="6"/>
      <c r="Z73" s="6"/>
    </row>
    <row r="74" spans="5:26" ht="26.25">
      <c r="E74" s="6"/>
      <c r="Y74" s="6"/>
      <c r="Z74" s="6"/>
    </row>
    <row r="75" spans="5:26" ht="26.25">
      <c r="E75" s="6"/>
      <c r="Y75" s="6"/>
      <c r="Z75" s="6"/>
    </row>
    <row r="76" spans="5:26" ht="26.25">
      <c r="E76" s="6"/>
      <c r="Y76" s="6"/>
      <c r="Z76" s="6"/>
    </row>
    <row r="77" spans="5:26" ht="26.25">
      <c r="E77" s="6"/>
      <c r="Y77" s="6"/>
      <c r="Z77" s="6"/>
    </row>
    <row r="78" spans="5:26" ht="26.25">
      <c r="E78" s="6"/>
      <c r="Y78" s="6"/>
      <c r="Z78" s="6"/>
    </row>
    <row r="79" spans="5:26" ht="26.25">
      <c r="E79" s="6"/>
      <c r="Y79" s="6"/>
      <c r="Z79" s="6"/>
    </row>
    <row r="80" spans="5:26" ht="26.25">
      <c r="E80" s="6"/>
      <c r="Y80" s="6"/>
      <c r="Z80" s="6"/>
    </row>
    <row r="81" spans="5:26" ht="26.25">
      <c r="E81" s="6"/>
      <c r="Y81" s="6"/>
      <c r="Z81" s="6"/>
    </row>
    <row r="82" spans="5:26" ht="26.25">
      <c r="E82" s="6"/>
      <c r="Y82" s="6"/>
      <c r="Z82" s="6"/>
    </row>
    <row r="83" spans="5:26" ht="26.25">
      <c r="E83" s="6"/>
      <c r="Y83" s="6"/>
      <c r="Z83" s="6"/>
    </row>
    <row r="84" spans="5:26" ht="26.25">
      <c r="E84" s="6"/>
      <c r="Y84" s="6"/>
      <c r="Z84" s="6"/>
    </row>
    <row r="85" spans="5:26" ht="26.25">
      <c r="E85" s="6"/>
      <c r="Y85" s="6"/>
      <c r="Z85" s="6"/>
    </row>
    <row r="86" spans="5:26" ht="26.25">
      <c r="E86" s="6"/>
      <c r="Y86" s="6"/>
      <c r="Z86" s="6"/>
    </row>
    <row r="87" spans="5:26" ht="26.25">
      <c r="E87" s="6"/>
      <c r="Y87" s="6"/>
      <c r="Z87" s="6"/>
    </row>
    <row r="88" spans="5:26" ht="26.25">
      <c r="E88" s="6"/>
      <c r="Y88" s="6"/>
      <c r="Z88" s="6"/>
    </row>
    <row r="89" spans="5:26" ht="26.25">
      <c r="E89" s="6"/>
      <c r="Y89" s="6"/>
      <c r="Z89" s="6"/>
    </row>
    <row r="90" spans="5:26" ht="26.25">
      <c r="E90" s="6"/>
      <c r="Y90" s="6"/>
      <c r="Z90" s="6"/>
    </row>
    <row r="91" spans="25:26" ht="26.25">
      <c r="Y91" s="6"/>
      <c r="Z91" s="6"/>
    </row>
    <row r="92" spans="25:26" ht="26.25">
      <c r="Y92" s="6"/>
      <c r="Z92" s="6"/>
    </row>
    <row r="93" spans="25:26" ht="26.25">
      <c r="Y93" s="6"/>
      <c r="Z93" s="6"/>
    </row>
    <row r="94" spans="25:26" ht="26.25">
      <c r="Y94" s="6"/>
      <c r="Z94" s="6"/>
    </row>
    <row r="95" spans="25:26" ht="26.25">
      <c r="Y95" s="6"/>
      <c r="Z95" s="6"/>
    </row>
    <row r="96" spans="25:26" ht="26.25">
      <c r="Y96" s="6"/>
      <c r="Z96" s="6"/>
    </row>
    <row r="97" spans="25:26" ht="26.25">
      <c r="Y97" s="6"/>
      <c r="Z97" s="6"/>
    </row>
    <row r="98" spans="25:26" ht="26.25">
      <c r="Y98" s="6"/>
      <c r="Z98" s="6"/>
    </row>
    <row r="99" spans="25:26" ht="26.25">
      <c r="Y99" s="6"/>
      <c r="Z99" s="6"/>
    </row>
    <row r="100" spans="25:26" ht="26.25">
      <c r="Y100" s="6"/>
      <c r="Z100" s="6"/>
    </row>
    <row r="101" spans="25:26" ht="26.25">
      <c r="Y101" s="6"/>
      <c r="Z101" s="6"/>
    </row>
    <row r="102" spans="25:26" ht="26.25">
      <c r="Y102" s="6"/>
      <c r="Z102" s="6"/>
    </row>
    <row r="103" spans="25:26" ht="26.25">
      <c r="Y103" s="6"/>
      <c r="Z103" s="6"/>
    </row>
    <row r="104" spans="25:26" ht="26.25">
      <c r="Y104" s="6"/>
      <c r="Z104" s="6"/>
    </row>
    <row r="105" spans="25:26" ht="26.25">
      <c r="Y105" s="6"/>
      <c r="Z105" s="6"/>
    </row>
    <row r="106" spans="25:26" ht="26.25">
      <c r="Y106" s="6"/>
      <c r="Z106" s="6"/>
    </row>
    <row r="107" spans="25:26" ht="26.25">
      <c r="Y107" s="6"/>
      <c r="Z107" s="6"/>
    </row>
    <row r="108" spans="25:26" ht="26.25">
      <c r="Y108" s="6"/>
      <c r="Z108" s="6"/>
    </row>
    <row r="109" spans="25:26" ht="26.25">
      <c r="Y109" s="6"/>
      <c r="Z109" s="6"/>
    </row>
    <row r="110" spans="25:26" ht="26.25">
      <c r="Y110" s="6"/>
      <c r="Z110" s="6"/>
    </row>
    <row r="111" spans="25:26" ht="26.25">
      <c r="Y111" s="6"/>
      <c r="Z111" s="6"/>
    </row>
    <row r="112" spans="25:26" ht="26.25">
      <c r="Y112" s="6"/>
      <c r="Z112" s="6"/>
    </row>
    <row r="113" spans="25:26" ht="26.25">
      <c r="Y113" s="6"/>
      <c r="Z113" s="6"/>
    </row>
    <row r="114" spans="25:26" ht="26.25">
      <c r="Y114" s="6"/>
      <c r="Z114" s="6"/>
    </row>
    <row r="115" spans="25:26" ht="26.25">
      <c r="Y115" s="6"/>
      <c r="Z115" s="6"/>
    </row>
    <row r="116" spans="25:26" ht="26.25">
      <c r="Y116" s="6"/>
      <c r="Z116" s="6"/>
    </row>
    <row r="117" spans="25:26" ht="26.25">
      <c r="Y117" s="6"/>
      <c r="Z117" s="6"/>
    </row>
    <row r="118" spans="25:26" ht="26.25">
      <c r="Y118" s="6"/>
      <c r="Z118" s="6"/>
    </row>
    <row r="119" spans="25:26" ht="26.25">
      <c r="Y119" s="6"/>
      <c r="Z119" s="6"/>
    </row>
    <row r="120" spans="25:26" ht="26.25">
      <c r="Y120" s="6"/>
      <c r="Z120" s="6"/>
    </row>
    <row r="121" spans="25:26" ht="26.25">
      <c r="Y121" s="6"/>
      <c r="Z121" s="6"/>
    </row>
    <row r="122" spans="25:26" ht="26.25">
      <c r="Y122" s="6"/>
      <c r="Z122" s="6"/>
    </row>
    <row r="123" spans="25:26" ht="26.25">
      <c r="Y123" s="6"/>
      <c r="Z123" s="6"/>
    </row>
    <row r="124" spans="25:26" ht="26.25">
      <c r="Y124" s="6"/>
      <c r="Z124" s="6"/>
    </row>
    <row r="125" spans="25:26" ht="26.25">
      <c r="Y125" s="6"/>
      <c r="Z125" s="6"/>
    </row>
    <row r="126" spans="25:26" ht="26.25">
      <c r="Y126" s="6"/>
      <c r="Z126" s="6"/>
    </row>
    <row r="127" spans="25:26" ht="26.25">
      <c r="Y127" s="6"/>
      <c r="Z127" s="6"/>
    </row>
    <row r="128" spans="25:26" ht="26.25">
      <c r="Y128" s="6"/>
      <c r="Z128" s="6"/>
    </row>
    <row r="129" spans="25:26" ht="26.25">
      <c r="Y129" s="6"/>
      <c r="Z129" s="6"/>
    </row>
    <row r="130" spans="25:26" ht="26.25">
      <c r="Y130" s="6"/>
      <c r="Z130" s="6"/>
    </row>
    <row r="131" spans="25:26" ht="26.25">
      <c r="Y131" s="6"/>
      <c r="Z131" s="6"/>
    </row>
    <row r="132" spans="25:26" ht="26.25">
      <c r="Y132" s="6"/>
      <c r="Z132" s="6"/>
    </row>
    <row r="133" spans="25:26" ht="26.25">
      <c r="Y133" s="6"/>
      <c r="Z133" s="6"/>
    </row>
    <row r="134" spans="25:26" ht="26.25">
      <c r="Y134" s="6"/>
      <c r="Z134" s="6"/>
    </row>
    <row r="135" spans="25:26" ht="26.25">
      <c r="Y135" s="6"/>
      <c r="Z135" s="6"/>
    </row>
    <row r="136" spans="25:26" ht="26.25">
      <c r="Y136" s="6"/>
      <c r="Z136" s="6"/>
    </row>
    <row r="137" spans="25:26" ht="26.25">
      <c r="Y137" s="6"/>
      <c r="Z137" s="6"/>
    </row>
    <row r="138" spans="25:26" ht="26.25">
      <c r="Y138" s="6"/>
      <c r="Z138" s="6"/>
    </row>
    <row r="139" spans="25:26" ht="26.25">
      <c r="Y139" s="6"/>
      <c r="Z139" s="6"/>
    </row>
    <row r="140" spans="25:26" ht="26.25">
      <c r="Y140" s="6"/>
      <c r="Z140" s="6"/>
    </row>
    <row r="141" spans="25:26" ht="26.25">
      <c r="Y141" s="6"/>
      <c r="Z141" s="6"/>
    </row>
    <row r="142" spans="25:26" ht="26.25">
      <c r="Y142" s="6"/>
      <c r="Z142" s="6"/>
    </row>
    <row r="143" spans="25:26" ht="26.25">
      <c r="Y143" s="6"/>
      <c r="Z143" s="6"/>
    </row>
    <row r="144" spans="25:26" ht="26.25">
      <c r="Y144" s="6"/>
      <c r="Z144" s="6"/>
    </row>
    <row r="145" spans="25:26" ht="26.25">
      <c r="Y145" s="6"/>
      <c r="Z145" s="6"/>
    </row>
    <row r="146" spans="25:26" ht="26.25">
      <c r="Y146" s="6"/>
      <c r="Z146" s="6"/>
    </row>
    <row r="147" spans="25:26" ht="26.25">
      <c r="Y147" s="6"/>
      <c r="Z147" s="6"/>
    </row>
    <row r="148" spans="25:26" ht="26.25">
      <c r="Y148" s="6"/>
      <c r="Z148" s="6"/>
    </row>
    <row r="149" spans="25:26" ht="26.25">
      <c r="Y149" s="6"/>
      <c r="Z149" s="6"/>
    </row>
    <row r="150" spans="25:26" ht="26.25">
      <c r="Y150" s="6"/>
      <c r="Z150" s="6"/>
    </row>
    <row r="151" spans="25:26" ht="26.25">
      <c r="Y151" s="6"/>
      <c r="Z151" s="6"/>
    </row>
    <row r="152" spans="25:26" ht="26.25">
      <c r="Y152" s="6"/>
      <c r="Z152" s="6"/>
    </row>
    <row r="153" spans="25:26" ht="26.25">
      <c r="Y153" s="6"/>
      <c r="Z153" s="6"/>
    </row>
    <row r="154" spans="25:26" ht="26.25">
      <c r="Y154" s="6"/>
      <c r="Z154" s="6"/>
    </row>
    <row r="155" spans="25:26" ht="26.25">
      <c r="Y155" s="6"/>
      <c r="Z155" s="6"/>
    </row>
    <row r="156" spans="25:26" ht="26.25">
      <c r="Y156" s="6"/>
      <c r="Z156" s="6"/>
    </row>
    <row r="157" spans="25:26" ht="26.25">
      <c r="Y157" s="6"/>
      <c r="Z157" s="6"/>
    </row>
    <row r="158" spans="25:26" ht="26.25">
      <c r="Y158" s="6"/>
      <c r="Z158" s="6"/>
    </row>
    <row r="159" spans="25:26" ht="26.25">
      <c r="Y159" s="6"/>
      <c r="Z159" s="6"/>
    </row>
    <row r="160" spans="25:26" ht="26.25">
      <c r="Y160" s="6"/>
      <c r="Z160" s="6"/>
    </row>
    <row r="161" spans="25:26" ht="26.25">
      <c r="Y161" s="6"/>
      <c r="Z161" s="6"/>
    </row>
    <row r="162" spans="25:26" ht="26.25">
      <c r="Y162" s="6"/>
      <c r="Z162" s="6"/>
    </row>
    <row r="163" spans="25:26" ht="26.25">
      <c r="Y163" s="6"/>
      <c r="Z163" s="6"/>
    </row>
    <row r="164" spans="25:26" ht="26.25">
      <c r="Y164" s="6"/>
      <c r="Z164" s="6"/>
    </row>
    <row r="165" spans="25:26" ht="26.25">
      <c r="Y165" s="6"/>
      <c r="Z165" s="6"/>
    </row>
    <row r="166" spans="25:26" ht="26.25">
      <c r="Y166" s="6"/>
      <c r="Z166" s="6"/>
    </row>
    <row r="167" spans="25:26" ht="26.25">
      <c r="Y167" s="6"/>
      <c r="Z167" s="6"/>
    </row>
    <row r="168" spans="25:26" ht="26.25">
      <c r="Y168" s="6"/>
      <c r="Z168" s="6"/>
    </row>
    <row r="169" spans="25:26" ht="26.25">
      <c r="Y169" s="6"/>
      <c r="Z169" s="6"/>
    </row>
    <row r="170" spans="25:26" ht="26.25">
      <c r="Y170" s="6"/>
      <c r="Z170" s="6"/>
    </row>
    <row r="171" spans="25:26" ht="26.25">
      <c r="Y171" s="6"/>
      <c r="Z171" s="6"/>
    </row>
    <row r="172" spans="25:26" ht="26.25">
      <c r="Y172" s="6"/>
      <c r="Z172" s="6"/>
    </row>
    <row r="173" spans="25:26" ht="26.25">
      <c r="Y173" s="6"/>
      <c r="Z173" s="6"/>
    </row>
    <row r="174" spans="25:26" ht="26.25">
      <c r="Y174" s="6"/>
      <c r="Z174" s="6"/>
    </row>
    <row r="175" spans="25:26" ht="26.25">
      <c r="Y175" s="6"/>
      <c r="Z175" s="6"/>
    </row>
    <row r="176" spans="25:26" ht="26.25">
      <c r="Y176" s="6"/>
      <c r="Z176" s="6"/>
    </row>
    <row r="177" spans="25:26" ht="26.25">
      <c r="Y177" s="6"/>
      <c r="Z177" s="6"/>
    </row>
    <row r="178" spans="25:26" ht="26.25">
      <c r="Y178" s="6"/>
      <c r="Z178" s="6"/>
    </row>
    <row r="179" spans="25:26" ht="26.25">
      <c r="Y179" s="6"/>
      <c r="Z179" s="6"/>
    </row>
    <row r="180" spans="25:26" ht="26.25">
      <c r="Y180" s="6"/>
      <c r="Z180" s="6"/>
    </row>
    <row r="181" spans="25:26" ht="26.25">
      <c r="Y181" s="6"/>
      <c r="Z181" s="6"/>
    </row>
    <row r="182" spans="25:26" ht="26.25">
      <c r="Y182" s="6"/>
      <c r="Z182" s="6"/>
    </row>
    <row r="183" spans="25:26" ht="26.25">
      <c r="Y183" s="6"/>
      <c r="Z183" s="6"/>
    </row>
    <row r="184" spans="25:26" ht="26.25">
      <c r="Y184" s="6"/>
      <c r="Z184" s="6"/>
    </row>
    <row r="185" spans="25:26" ht="26.25">
      <c r="Y185" s="6"/>
      <c r="Z185" s="6"/>
    </row>
    <row r="186" spans="25:26" ht="26.25">
      <c r="Y186" s="6"/>
      <c r="Z186" s="6"/>
    </row>
    <row r="187" spans="25:26" ht="26.25">
      <c r="Y187" s="6"/>
      <c r="Z187" s="6"/>
    </row>
    <row r="188" spans="25:26" ht="26.25">
      <c r="Y188" s="6"/>
      <c r="Z188" s="6"/>
    </row>
    <row r="189" spans="25:26" ht="26.25">
      <c r="Y189" s="6"/>
      <c r="Z189" s="6"/>
    </row>
    <row r="190" spans="25:26" ht="26.25">
      <c r="Y190" s="6"/>
      <c r="Z190" s="6"/>
    </row>
    <row r="191" spans="25:26" ht="26.25">
      <c r="Y191" s="6"/>
      <c r="Z191" s="6"/>
    </row>
    <row r="192" spans="25:26" ht="26.25">
      <c r="Y192" s="6"/>
      <c r="Z192" s="6"/>
    </row>
    <row r="193" spans="25:26" ht="26.25">
      <c r="Y193" s="6"/>
      <c r="Z193" s="6"/>
    </row>
    <row r="194" spans="25:26" ht="26.25">
      <c r="Y194" s="6"/>
      <c r="Z194" s="6"/>
    </row>
    <row r="195" spans="25:26" ht="26.25">
      <c r="Y195" s="6"/>
      <c r="Z195" s="6"/>
    </row>
    <row r="196" spans="25:26" ht="26.25">
      <c r="Y196" s="6"/>
      <c r="Z196" s="6"/>
    </row>
    <row r="197" spans="25:26" ht="26.25">
      <c r="Y197" s="6"/>
      <c r="Z197" s="6"/>
    </row>
    <row r="198" spans="25:26" ht="26.25">
      <c r="Y198" s="6"/>
      <c r="Z198" s="6"/>
    </row>
    <row r="199" spans="25:26" ht="26.25">
      <c r="Y199" s="6"/>
      <c r="Z199" s="6"/>
    </row>
    <row r="200" spans="25:26" ht="26.25">
      <c r="Y200" s="6"/>
      <c r="Z200" s="6"/>
    </row>
    <row r="201" spans="25:26" ht="26.25">
      <c r="Y201" s="6"/>
      <c r="Z201" s="6"/>
    </row>
    <row r="202" spans="25:26" ht="26.25">
      <c r="Y202" s="6"/>
      <c r="Z202" s="6"/>
    </row>
    <row r="203" spans="25:26" ht="26.25">
      <c r="Y203" s="6"/>
      <c r="Z203" s="6"/>
    </row>
    <row r="204" spans="25:26" ht="26.25">
      <c r="Y204" s="6"/>
      <c r="Z204" s="6"/>
    </row>
    <row r="205" spans="25:26" ht="26.25">
      <c r="Y205" s="6"/>
      <c r="Z205" s="6"/>
    </row>
    <row r="206" spans="25:26" ht="26.25">
      <c r="Y206" s="6"/>
      <c r="Z206" s="6"/>
    </row>
    <row r="207" spans="25:26" ht="26.25">
      <c r="Y207" s="6"/>
      <c r="Z207" s="6"/>
    </row>
    <row r="208" spans="25:26" ht="26.25">
      <c r="Y208" s="6"/>
      <c r="Z208" s="6"/>
    </row>
    <row r="209" spans="25:26" ht="26.25">
      <c r="Y209" s="6"/>
      <c r="Z209" s="6"/>
    </row>
    <row r="210" spans="25:26" ht="26.25">
      <c r="Y210" s="6"/>
      <c r="Z210" s="6"/>
    </row>
    <row r="211" spans="25:26" ht="26.25">
      <c r="Y211" s="6"/>
      <c r="Z211" s="6"/>
    </row>
    <row r="212" spans="25:26" ht="26.25">
      <c r="Y212" s="6"/>
      <c r="Z212" s="6"/>
    </row>
    <row r="213" spans="25:26" ht="26.25">
      <c r="Y213" s="6"/>
      <c r="Z213" s="6"/>
    </row>
    <row r="214" spans="25:26" ht="26.25">
      <c r="Y214" s="6"/>
      <c r="Z214" s="6"/>
    </row>
    <row r="215" spans="25:26" ht="26.25">
      <c r="Y215" s="6"/>
      <c r="Z215" s="6"/>
    </row>
    <row r="216" spans="25:26" ht="26.25">
      <c r="Y216" s="6"/>
      <c r="Z216" s="6"/>
    </row>
    <row r="217" spans="25:26" ht="26.25">
      <c r="Y217" s="6"/>
      <c r="Z217" s="6"/>
    </row>
    <row r="218" spans="25:26" ht="26.25">
      <c r="Y218" s="6"/>
      <c r="Z218" s="6"/>
    </row>
    <row r="219" spans="25:26" ht="26.25">
      <c r="Y219" s="6"/>
      <c r="Z219" s="6"/>
    </row>
    <row r="220" spans="25:26" ht="26.25">
      <c r="Y220" s="6"/>
      <c r="Z220" s="6"/>
    </row>
    <row r="221" spans="25:26" ht="26.25">
      <c r="Y221" s="6"/>
      <c r="Z221" s="6"/>
    </row>
    <row r="222" spans="25:26" ht="26.25">
      <c r="Y222" s="6"/>
      <c r="Z222" s="6"/>
    </row>
    <row r="223" spans="25:26" ht="26.25">
      <c r="Y223" s="6"/>
      <c r="Z223" s="6"/>
    </row>
    <row r="224" spans="25:26" ht="26.25">
      <c r="Y224" s="6"/>
      <c r="Z224" s="6"/>
    </row>
    <row r="225" spans="25:26" ht="26.25">
      <c r="Y225" s="6"/>
      <c r="Z225" s="6"/>
    </row>
    <row r="226" spans="25:26" ht="26.25">
      <c r="Y226" s="6"/>
      <c r="Z226" s="6"/>
    </row>
    <row r="227" spans="25:26" ht="26.25">
      <c r="Y227" s="6"/>
      <c r="Z227" s="6"/>
    </row>
    <row r="228" spans="25:26" ht="26.25">
      <c r="Y228" s="6"/>
      <c r="Z228" s="6"/>
    </row>
    <row r="229" spans="25:26" ht="26.25">
      <c r="Y229" s="6"/>
      <c r="Z229" s="6"/>
    </row>
    <row r="230" spans="25:26" ht="26.25">
      <c r="Y230" s="6"/>
      <c r="Z230" s="6"/>
    </row>
    <row r="231" spans="25:26" ht="26.25">
      <c r="Y231" s="6"/>
      <c r="Z231" s="6"/>
    </row>
    <row r="232" spans="25:26" ht="26.25">
      <c r="Y232" s="6"/>
      <c r="Z232" s="6"/>
    </row>
    <row r="233" spans="25:26" ht="26.25">
      <c r="Y233" s="6"/>
      <c r="Z233" s="6"/>
    </row>
    <row r="234" spans="25:26" ht="26.25">
      <c r="Y234" s="6"/>
      <c r="Z234" s="6"/>
    </row>
    <row r="235" spans="25:26" ht="26.25">
      <c r="Y235" s="6"/>
      <c r="Z235" s="6"/>
    </row>
    <row r="236" spans="25:26" ht="26.25">
      <c r="Y236" s="6"/>
      <c r="Z236" s="6"/>
    </row>
    <row r="237" spans="25:26" ht="26.25">
      <c r="Y237" s="6"/>
      <c r="Z237" s="6"/>
    </row>
    <row r="238" spans="25:26" ht="26.25">
      <c r="Y238" s="6"/>
      <c r="Z238" s="6"/>
    </row>
    <row r="239" spans="25:26" ht="26.25">
      <c r="Y239" s="6"/>
      <c r="Z239" s="6"/>
    </row>
    <row r="240" spans="25:26" ht="26.25">
      <c r="Y240" s="6"/>
      <c r="Z240" s="6"/>
    </row>
    <row r="241" spans="25:26" ht="26.25">
      <c r="Y241" s="6"/>
      <c r="Z241" s="6"/>
    </row>
    <row r="242" spans="25:26" ht="26.25">
      <c r="Y242" s="6"/>
      <c r="Z242" s="6"/>
    </row>
    <row r="243" spans="25:26" ht="26.25">
      <c r="Y243" s="6"/>
      <c r="Z243" s="6"/>
    </row>
    <row r="244" spans="25:26" ht="26.25">
      <c r="Y244" s="6"/>
      <c r="Z244" s="6"/>
    </row>
    <row r="245" spans="25:26" ht="26.25">
      <c r="Y245" s="6"/>
      <c r="Z245" s="6"/>
    </row>
    <row r="246" spans="25:26" ht="26.25">
      <c r="Y246" s="6"/>
      <c r="Z246" s="6"/>
    </row>
    <row r="247" spans="25:26" ht="26.25">
      <c r="Y247" s="6"/>
      <c r="Z247" s="6"/>
    </row>
    <row r="248" spans="25:26" ht="26.25">
      <c r="Y248" s="6"/>
      <c r="Z248" s="6"/>
    </row>
    <row r="249" spans="25:26" ht="26.25">
      <c r="Y249" s="6"/>
      <c r="Z249" s="6"/>
    </row>
    <row r="250" spans="25:26" ht="26.25">
      <c r="Y250" s="6"/>
      <c r="Z250" s="6"/>
    </row>
    <row r="251" spans="25:26" ht="26.25">
      <c r="Y251" s="6"/>
      <c r="Z251" s="6"/>
    </row>
    <row r="252" spans="25:26" ht="26.25">
      <c r="Y252" s="6"/>
      <c r="Z252" s="6"/>
    </row>
    <row r="253" spans="25:26" ht="26.25">
      <c r="Y253" s="6"/>
      <c r="Z253" s="6"/>
    </row>
    <row r="254" spans="25:26" ht="26.25">
      <c r="Y254" s="6"/>
      <c r="Z254" s="6"/>
    </row>
    <row r="255" spans="25:26" ht="26.25">
      <c r="Y255" s="6"/>
      <c r="Z255" s="6"/>
    </row>
    <row r="256" spans="25:26" ht="26.25">
      <c r="Y256" s="6"/>
      <c r="Z256" s="6"/>
    </row>
    <row r="257" spans="25:26" ht="26.25">
      <c r="Y257" s="6"/>
      <c r="Z257" s="6"/>
    </row>
    <row r="258" spans="25:26" ht="26.25">
      <c r="Y258" s="6"/>
      <c r="Z258" s="6"/>
    </row>
    <row r="259" spans="25:26" ht="26.25">
      <c r="Y259" s="6"/>
      <c r="Z259" s="6"/>
    </row>
    <row r="260" spans="25:26" ht="26.25">
      <c r="Y260" s="6"/>
      <c r="Z260" s="6"/>
    </row>
    <row r="261" spans="25:26" ht="26.25">
      <c r="Y261" s="6"/>
      <c r="Z261" s="6"/>
    </row>
    <row r="262" spans="25:26" ht="26.25">
      <c r="Y262" s="6"/>
      <c r="Z262" s="6"/>
    </row>
    <row r="263" spans="25:26" ht="26.25">
      <c r="Y263" s="6"/>
      <c r="Z263" s="6"/>
    </row>
    <row r="264" spans="25:26" ht="26.25">
      <c r="Y264" s="6"/>
      <c r="Z264" s="6"/>
    </row>
    <row r="265" spans="25:26" ht="26.25">
      <c r="Y265" s="6"/>
      <c r="Z265" s="6"/>
    </row>
    <row r="266" spans="25:26" ht="26.25">
      <c r="Y266" s="6"/>
      <c r="Z266" s="6"/>
    </row>
    <row r="267" spans="25:26" ht="26.25">
      <c r="Y267" s="6"/>
      <c r="Z267" s="6"/>
    </row>
    <row r="268" spans="25:26" ht="26.25">
      <c r="Y268" s="6"/>
      <c r="Z268" s="6"/>
    </row>
    <row r="269" spans="25:26" ht="26.25">
      <c r="Y269" s="6"/>
      <c r="Z269" s="6"/>
    </row>
    <row r="270" spans="25:26" ht="26.25">
      <c r="Y270" s="6"/>
      <c r="Z270" s="6"/>
    </row>
    <row r="271" spans="25:26" ht="26.25">
      <c r="Y271" s="6"/>
      <c r="Z271" s="6"/>
    </row>
    <row r="272" spans="25:26" ht="26.25">
      <c r="Y272" s="6"/>
      <c r="Z272" s="6"/>
    </row>
    <row r="273" spans="25:26" ht="26.25">
      <c r="Y273" s="6"/>
      <c r="Z273" s="6"/>
    </row>
    <row r="274" spans="25:26" ht="26.25">
      <c r="Y274" s="6"/>
      <c r="Z274" s="6"/>
    </row>
    <row r="275" spans="25:26" ht="26.25">
      <c r="Y275" s="6"/>
      <c r="Z275" s="6"/>
    </row>
    <row r="276" spans="25:26" ht="26.25">
      <c r="Y276" s="6"/>
      <c r="Z276" s="6"/>
    </row>
    <row r="277" spans="25:26" ht="26.25">
      <c r="Y277" s="6"/>
      <c r="Z277" s="6"/>
    </row>
    <row r="278" spans="25:26" ht="26.25">
      <c r="Y278" s="6"/>
      <c r="Z278" s="6"/>
    </row>
    <row r="279" spans="25:26" ht="26.25">
      <c r="Y279" s="6"/>
      <c r="Z279" s="6"/>
    </row>
    <row r="280" spans="25:26" ht="26.25">
      <c r="Y280" s="6"/>
      <c r="Z280" s="6"/>
    </row>
    <row r="281" spans="25:26" ht="26.25">
      <c r="Y281" s="6"/>
      <c r="Z281" s="6"/>
    </row>
    <row r="282" spans="25:26" ht="26.25">
      <c r="Y282" s="6"/>
      <c r="Z282" s="6"/>
    </row>
    <row r="283" spans="25:26" ht="26.25">
      <c r="Y283" s="6"/>
      <c r="Z283" s="6"/>
    </row>
    <row r="284" spans="25:26" ht="26.25">
      <c r="Y284" s="6"/>
      <c r="Z284" s="6"/>
    </row>
    <row r="285" spans="25:26" ht="26.25">
      <c r="Y285" s="6"/>
      <c r="Z285" s="6"/>
    </row>
    <row r="286" spans="25:26" ht="26.25">
      <c r="Y286" s="6"/>
      <c r="Z286" s="6"/>
    </row>
    <row r="287" spans="25:26" ht="26.25">
      <c r="Y287" s="6"/>
      <c r="Z287" s="6"/>
    </row>
    <row r="288" spans="25:26" ht="26.25">
      <c r="Y288" s="6"/>
      <c r="Z288" s="6"/>
    </row>
    <row r="289" spans="25:26" ht="26.25">
      <c r="Y289" s="6"/>
      <c r="Z289" s="6"/>
    </row>
    <row r="290" spans="25:26" ht="26.25">
      <c r="Y290" s="6"/>
      <c r="Z290" s="6"/>
    </row>
    <row r="291" spans="25:26" ht="26.25">
      <c r="Y291" s="6"/>
      <c r="Z291" s="6"/>
    </row>
    <row r="292" spans="25:26" ht="26.25">
      <c r="Y292" s="6"/>
      <c r="Z292" s="6"/>
    </row>
    <row r="293" spans="25:26" ht="26.25">
      <c r="Y293" s="6"/>
      <c r="Z293" s="6"/>
    </row>
    <row r="294" spans="25:26" ht="26.25">
      <c r="Y294" s="6"/>
      <c r="Z294" s="6"/>
    </row>
    <row r="295" spans="25:26" ht="26.25">
      <c r="Y295" s="6"/>
      <c r="Z295" s="6"/>
    </row>
    <row r="296" spans="25:26" ht="26.25">
      <c r="Y296" s="6"/>
      <c r="Z296" s="6"/>
    </row>
    <row r="297" spans="25:26" ht="26.25">
      <c r="Y297" s="6"/>
      <c r="Z297" s="6"/>
    </row>
    <row r="298" spans="25:26" ht="26.25">
      <c r="Y298" s="6"/>
      <c r="Z298" s="6"/>
    </row>
    <row r="299" spans="25:26" ht="26.25">
      <c r="Y299" s="6"/>
      <c r="Z299" s="6"/>
    </row>
    <row r="300" spans="25:26" ht="26.25">
      <c r="Y300" s="6"/>
      <c r="Z300" s="6"/>
    </row>
    <row r="301" spans="25:26" ht="26.25">
      <c r="Y301" s="6"/>
      <c r="Z301" s="6"/>
    </row>
    <row r="302" spans="25:26" ht="26.25">
      <c r="Y302" s="6"/>
      <c r="Z302" s="6"/>
    </row>
    <row r="303" spans="25:26" ht="26.25">
      <c r="Y303" s="6"/>
      <c r="Z303" s="6"/>
    </row>
    <row r="304" spans="25:26" ht="26.25">
      <c r="Y304" s="6"/>
      <c r="Z304" s="6"/>
    </row>
    <row r="305" spans="25:26" ht="26.25">
      <c r="Y305" s="6"/>
      <c r="Z305" s="6"/>
    </row>
    <row r="306" spans="25:26" ht="26.25">
      <c r="Y306" s="6"/>
      <c r="Z306" s="6"/>
    </row>
    <row r="307" spans="25:26" ht="26.25">
      <c r="Y307" s="6"/>
      <c r="Z307" s="6"/>
    </row>
    <row r="308" spans="25:26" ht="26.25">
      <c r="Y308" s="6"/>
      <c r="Z308" s="6"/>
    </row>
    <row r="309" spans="25:26" ht="26.25">
      <c r="Y309" s="6"/>
      <c r="Z309" s="6"/>
    </row>
    <row r="310" spans="25:26" ht="26.25">
      <c r="Y310" s="6"/>
      <c r="Z310" s="6"/>
    </row>
    <row r="311" spans="25:26" ht="26.25">
      <c r="Y311" s="6"/>
      <c r="Z311" s="6"/>
    </row>
    <row r="312" spans="25:26" ht="26.25">
      <c r="Y312" s="6"/>
      <c r="Z312" s="6"/>
    </row>
    <row r="313" spans="25:26" ht="26.25">
      <c r="Y313" s="6"/>
      <c r="Z313" s="6"/>
    </row>
    <row r="314" spans="25:26" ht="26.25">
      <c r="Y314" s="6"/>
      <c r="Z314" s="6"/>
    </row>
    <row r="315" spans="25:26" ht="26.25">
      <c r="Y315" s="6"/>
      <c r="Z315" s="6"/>
    </row>
    <row r="316" spans="25:26" ht="26.25">
      <c r="Y316" s="6"/>
      <c r="Z316" s="6"/>
    </row>
    <row r="317" spans="25:26" ht="26.25">
      <c r="Y317" s="6"/>
      <c r="Z317" s="6"/>
    </row>
    <row r="318" spans="25:26" ht="26.25">
      <c r="Y318" s="6"/>
      <c r="Z318" s="6"/>
    </row>
    <row r="319" spans="25:26" ht="26.25">
      <c r="Y319" s="6"/>
      <c r="Z319" s="6"/>
    </row>
    <row r="320" spans="25:26" ht="26.25">
      <c r="Y320" s="6"/>
      <c r="Z320" s="6"/>
    </row>
    <row r="321" spans="25:26" ht="26.25">
      <c r="Y321" s="6"/>
      <c r="Z321" s="6"/>
    </row>
    <row r="322" spans="25:26" ht="26.25">
      <c r="Y322" s="6"/>
      <c r="Z322" s="6"/>
    </row>
    <row r="323" spans="25:26" ht="26.25">
      <c r="Y323" s="6"/>
      <c r="Z323" s="6"/>
    </row>
    <row r="324" spans="25:26" ht="26.25">
      <c r="Y324" s="6"/>
      <c r="Z324" s="6"/>
    </row>
    <row r="325" spans="25:26" ht="26.25">
      <c r="Y325" s="6"/>
      <c r="Z325" s="6"/>
    </row>
    <row r="326" spans="25:26" ht="26.25">
      <c r="Y326" s="6"/>
      <c r="Z326" s="6"/>
    </row>
    <row r="327" spans="25:26" ht="26.25">
      <c r="Y327" s="6"/>
      <c r="Z327" s="6"/>
    </row>
    <row r="328" spans="25:26" ht="26.25">
      <c r="Y328" s="6"/>
      <c r="Z328" s="6"/>
    </row>
    <row r="329" spans="25:26" ht="26.25">
      <c r="Y329" s="6"/>
      <c r="Z329" s="6"/>
    </row>
    <row r="330" spans="25:26" ht="26.25">
      <c r="Y330" s="6"/>
      <c r="Z330" s="6"/>
    </row>
    <row r="331" spans="25:26" ht="26.25">
      <c r="Y331" s="6"/>
      <c r="Z331" s="6"/>
    </row>
    <row r="332" spans="25:26" ht="26.25">
      <c r="Y332" s="6"/>
      <c r="Z332" s="6"/>
    </row>
    <row r="333" spans="25:26" ht="26.25">
      <c r="Y333" s="6"/>
      <c r="Z333" s="6"/>
    </row>
    <row r="334" spans="25:26" ht="26.25">
      <c r="Y334" s="6"/>
      <c r="Z334" s="6"/>
    </row>
    <row r="335" spans="25:26" ht="26.25">
      <c r="Y335" s="6"/>
      <c r="Z335" s="6"/>
    </row>
    <row r="336" spans="25:26" ht="26.25">
      <c r="Y336" s="6"/>
      <c r="Z336" s="6"/>
    </row>
    <row r="337" spans="25:26" ht="26.25">
      <c r="Y337" s="6"/>
      <c r="Z337" s="6"/>
    </row>
    <row r="338" spans="25:26" ht="26.25">
      <c r="Y338" s="6"/>
      <c r="Z338" s="6"/>
    </row>
    <row r="339" spans="25:26" ht="26.25">
      <c r="Y339" s="6"/>
      <c r="Z339" s="6"/>
    </row>
    <row r="340" spans="25:26" ht="26.25">
      <c r="Y340" s="6"/>
      <c r="Z340" s="6"/>
    </row>
    <row r="341" spans="25:26" ht="26.25">
      <c r="Y341" s="6"/>
      <c r="Z341" s="6"/>
    </row>
    <row r="342" spans="25:26" ht="26.25">
      <c r="Y342" s="6"/>
      <c r="Z342" s="6"/>
    </row>
    <row r="343" spans="25:26" ht="26.25">
      <c r="Y343" s="6"/>
      <c r="Z343" s="6"/>
    </row>
    <row r="344" spans="25:26" ht="26.25">
      <c r="Y344" s="6"/>
      <c r="Z344" s="6"/>
    </row>
    <row r="345" spans="25:26" ht="26.25">
      <c r="Y345" s="6"/>
      <c r="Z345" s="6"/>
    </row>
    <row r="346" spans="25:26" ht="26.25">
      <c r="Y346" s="6"/>
      <c r="Z346" s="6"/>
    </row>
    <row r="347" spans="25:26" ht="26.25">
      <c r="Y347" s="6"/>
      <c r="Z347" s="6"/>
    </row>
    <row r="348" spans="25:26" ht="26.25">
      <c r="Y348" s="6"/>
      <c r="Z348" s="6"/>
    </row>
    <row r="349" spans="25:26" ht="26.25">
      <c r="Y349" s="6"/>
      <c r="Z349" s="6"/>
    </row>
    <row r="350" spans="25:26" ht="26.25">
      <c r="Y350" s="6"/>
      <c r="Z350" s="6"/>
    </row>
    <row r="351" spans="25:26" ht="26.25">
      <c r="Y351" s="6"/>
      <c r="Z351" s="6"/>
    </row>
    <row r="352" spans="25:26" ht="26.25">
      <c r="Y352" s="6"/>
      <c r="Z352" s="6"/>
    </row>
    <row r="353" spans="25:26" ht="26.25">
      <c r="Y353" s="6"/>
      <c r="Z353" s="6"/>
    </row>
    <row r="354" spans="25:26" ht="26.25">
      <c r="Y354" s="6"/>
      <c r="Z354" s="6"/>
    </row>
    <row r="355" spans="25:26" ht="26.25">
      <c r="Y355" s="6"/>
      <c r="Z355" s="6"/>
    </row>
    <row r="356" spans="25:26" ht="26.25">
      <c r="Y356" s="6"/>
      <c r="Z356" s="6"/>
    </row>
    <row r="357" spans="25:26" ht="26.25">
      <c r="Y357" s="6"/>
      <c r="Z357" s="6"/>
    </row>
    <row r="358" spans="25:26" ht="26.25">
      <c r="Y358" s="6"/>
      <c r="Z358" s="6"/>
    </row>
    <row r="359" spans="25:26" ht="26.25">
      <c r="Y359" s="6"/>
      <c r="Z359" s="6"/>
    </row>
    <row r="360" spans="25:26" ht="26.25">
      <c r="Y360" s="6"/>
      <c r="Z360" s="6"/>
    </row>
    <row r="361" spans="25:26" ht="26.25">
      <c r="Y361" s="6"/>
      <c r="Z361" s="6"/>
    </row>
    <row r="362" spans="25:26" ht="26.25">
      <c r="Y362" s="6"/>
      <c r="Z362" s="6"/>
    </row>
    <row r="363" spans="25:26" ht="26.25">
      <c r="Y363" s="6"/>
      <c r="Z363" s="6"/>
    </row>
    <row r="364" spans="25:26" ht="26.25">
      <c r="Y364" s="6"/>
      <c r="Z364" s="6"/>
    </row>
    <row r="365" spans="25:26" ht="26.25">
      <c r="Y365" s="6"/>
      <c r="Z365" s="6"/>
    </row>
    <row r="366" spans="25:26" ht="26.25">
      <c r="Y366" s="6"/>
      <c r="Z366" s="6"/>
    </row>
    <row r="367" spans="25:26" ht="26.25">
      <c r="Y367" s="6"/>
      <c r="Z367" s="6"/>
    </row>
    <row r="368" spans="25:26" ht="26.25">
      <c r="Y368" s="6"/>
      <c r="Z368" s="6"/>
    </row>
    <row r="369" spans="25:26" ht="26.25">
      <c r="Y369" s="6"/>
      <c r="Z369" s="6"/>
    </row>
    <row r="370" spans="25:26" ht="26.25">
      <c r="Y370" s="6"/>
      <c r="Z370" s="6"/>
    </row>
    <row r="371" spans="25:26" ht="26.25">
      <c r="Y371" s="6"/>
      <c r="Z371" s="6"/>
    </row>
    <row r="372" spans="25:26" ht="26.25">
      <c r="Y372" s="6"/>
      <c r="Z372" s="6"/>
    </row>
    <row r="373" spans="25:26" ht="26.25">
      <c r="Y373" s="6"/>
      <c r="Z373" s="6"/>
    </row>
    <row r="374" spans="25:26" ht="26.25">
      <c r="Y374" s="6"/>
      <c r="Z374" s="6"/>
    </row>
    <row r="375" spans="25:26" ht="26.25">
      <c r="Y375" s="6"/>
      <c r="Z375" s="6"/>
    </row>
    <row r="376" spans="25:26" ht="26.25">
      <c r="Y376" s="6"/>
      <c r="Z376" s="6"/>
    </row>
    <row r="377" spans="25:26" ht="26.25">
      <c r="Y377" s="6"/>
      <c r="Z377" s="6"/>
    </row>
    <row r="378" spans="25:26" ht="26.25">
      <c r="Y378" s="6"/>
      <c r="Z378" s="6"/>
    </row>
    <row r="379" spans="25:26" ht="26.25">
      <c r="Y379" s="6"/>
      <c r="Z379" s="6"/>
    </row>
    <row r="380" spans="25:26" ht="26.25">
      <c r="Y380" s="6"/>
      <c r="Z380" s="6"/>
    </row>
    <row r="381" spans="25:26" ht="26.25">
      <c r="Y381" s="6"/>
      <c r="Z381" s="6"/>
    </row>
    <row r="382" spans="25:26" ht="26.25">
      <c r="Y382" s="6"/>
      <c r="Z382" s="6"/>
    </row>
    <row r="383" spans="25:26" ht="26.25">
      <c r="Y383" s="6"/>
      <c r="Z383" s="6"/>
    </row>
    <row r="384" spans="25:26" ht="26.25">
      <c r="Y384" s="6"/>
      <c r="Z384" s="6"/>
    </row>
    <row r="385" spans="25:26" ht="26.25">
      <c r="Y385" s="6"/>
      <c r="Z385" s="6"/>
    </row>
    <row r="386" spans="25:26" ht="26.25">
      <c r="Y386" s="6"/>
      <c r="Z386" s="6"/>
    </row>
    <row r="387" spans="25:26" ht="26.25">
      <c r="Y387" s="6"/>
      <c r="Z387" s="6"/>
    </row>
    <row r="388" spans="25:26" ht="26.25">
      <c r="Y388" s="6"/>
      <c r="Z388" s="6"/>
    </row>
    <row r="389" spans="25:26" ht="26.25">
      <c r="Y389" s="6"/>
      <c r="Z389" s="6"/>
    </row>
    <row r="390" spans="25:26" ht="26.25">
      <c r="Y390" s="6"/>
      <c r="Z390" s="6"/>
    </row>
    <row r="391" spans="25:26" ht="26.25">
      <c r="Y391" s="6"/>
      <c r="Z391" s="6"/>
    </row>
    <row r="392" spans="25:26" ht="26.25">
      <c r="Y392" s="6"/>
      <c r="Z392" s="6"/>
    </row>
    <row r="393" spans="25:26" ht="26.25">
      <c r="Y393" s="6"/>
      <c r="Z393" s="6"/>
    </row>
    <row r="394" spans="25:26" ht="26.25">
      <c r="Y394" s="6"/>
      <c r="Z394" s="6"/>
    </row>
    <row r="395" spans="25:26" ht="26.25">
      <c r="Y395" s="6"/>
      <c r="Z395" s="6"/>
    </row>
    <row r="396" spans="25:26" ht="26.25">
      <c r="Y396" s="6"/>
      <c r="Z396" s="6"/>
    </row>
    <row r="397" spans="25:26" ht="26.25">
      <c r="Y397" s="6"/>
      <c r="Z397" s="6"/>
    </row>
    <row r="398" spans="25:26" ht="26.25">
      <c r="Y398" s="6"/>
      <c r="Z398" s="6"/>
    </row>
    <row r="399" spans="25:26" ht="26.25">
      <c r="Y399" s="6"/>
      <c r="Z399" s="6"/>
    </row>
    <row r="400" spans="25:26" ht="26.25">
      <c r="Y400" s="6"/>
      <c r="Z400" s="6"/>
    </row>
    <row r="401" spans="25:26" ht="26.25">
      <c r="Y401" s="6"/>
      <c r="Z401" s="6"/>
    </row>
    <row r="402" spans="25:26" ht="26.25">
      <c r="Y402" s="6"/>
      <c r="Z402" s="6"/>
    </row>
    <row r="403" spans="25:26" ht="26.25">
      <c r="Y403" s="6"/>
      <c r="Z403" s="6"/>
    </row>
    <row r="404" spans="25:26" ht="26.25">
      <c r="Y404" s="6"/>
      <c r="Z404" s="6"/>
    </row>
    <row r="405" spans="25:26" ht="26.25">
      <c r="Y405" s="6"/>
      <c r="Z405" s="6"/>
    </row>
    <row r="406" spans="25:26" ht="26.25">
      <c r="Y406" s="6"/>
      <c r="Z406" s="6"/>
    </row>
    <row r="407" spans="25:26" ht="26.25">
      <c r="Y407" s="6"/>
      <c r="Z407" s="6"/>
    </row>
    <row r="408" spans="25:26" ht="26.25">
      <c r="Y408" s="6"/>
      <c r="Z408" s="6"/>
    </row>
    <row r="409" spans="25:26" ht="26.25">
      <c r="Y409" s="6"/>
      <c r="Z409" s="6"/>
    </row>
    <row r="410" spans="25:26" ht="26.25">
      <c r="Y410" s="6"/>
      <c r="Z410" s="6"/>
    </row>
    <row r="411" spans="25:26" ht="26.25">
      <c r="Y411" s="6"/>
      <c r="Z411" s="6"/>
    </row>
    <row r="412" spans="25:26" ht="26.25">
      <c r="Y412" s="6"/>
      <c r="Z412" s="6"/>
    </row>
    <row r="413" spans="25:26" ht="26.25">
      <c r="Y413" s="6"/>
      <c r="Z413" s="6"/>
    </row>
    <row r="414" spans="25:26" ht="26.25">
      <c r="Y414" s="6"/>
      <c r="Z414" s="6"/>
    </row>
    <row r="415" spans="25:26" ht="26.25">
      <c r="Y415" s="6"/>
      <c r="Z415" s="6"/>
    </row>
    <row r="416" spans="25:26" ht="26.25">
      <c r="Y416" s="6"/>
      <c r="Z416" s="6"/>
    </row>
    <row r="417" spans="25:26" ht="26.25">
      <c r="Y417" s="6"/>
      <c r="Z417" s="6"/>
    </row>
    <row r="418" spans="25:26" ht="26.25">
      <c r="Y418" s="6"/>
      <c r="Z418" s="6"/>
    </row>
    <row r="419" spans="25:26" ht="26.25">
      <c r="Y419" s="6"/>
      <c r="Z419" s="6"/>
    </row>
    <row r="420" spans="25:26" ht="26.25">
      <c r="Y420" s="6"/>
      <c r="Z420" s="6"/>
    </row>
    <row r="421" spans="25:26" ht="26.25">
      <c r="Y421" s="6"/>
      <c r="Z421" s="6"/>
    </row>
    <row r="422" spans="25:26" ht="26.25">
      <c r="Y422" s="6"/>
      <c r="Z422" s="6"/>
    </row>
    <row r="423" spans="25:26" ht="26.25">
      <c r="Y423" s="6"/>
      <c r="Z423" s="6"/>
    </row>
    <row r="424" spans="25:26" ht="26.25">
      <c r="Y424" s="6"/>
      <c r="Z424" s="6"/>
    </row>
    <row r="425" spans="25:26" ht="26.25">
      <c r="Y425" s="6"/>
      <c r="Z425" s="6"/>
    </row>
    <row r="426" spans="25:26" ht="26.25">
      <c r="Y426" s="6"/>
      <c r="Z426" s="6"/>
    </row>
    <row r="427" spans="25:26" ht="26.25">
      <c r="Y427" s="6"/>
      <c r="Z427" s="6"/>
    </row>
    <row r="428" spans="25:26" ht="26.25">
      <c r="Y428" s="6"/>
      <c r="Z428" s="6"/>
    </row>
    <row r="429" spans="25:26" ht="26.25">
      <c r="Y429" s="6"/>
      <c r="Z429" s="6"/>
    </row>
    <row r="430" spans="25:26" ht="26.25">
      <c r="Y430" s="6"/>
      <c r="Z430" s="6"/>
    </row>
    <row r="431" spans="25:26" ht="26.25">
      <c r="Y431" s="6"/>
      <c r="Z431" s="6"/>
    </row>
    <row r="432" spans="25:26" ht="26.25">
      <c r="Y432" s="6"/>
      <c r="Z432" s="6"/>
    </row>
    <row r="433" spans="25:26" ht="26.25">
      <c r="Y433" s="6"/>
      <c r="Z433" s="6"/>
    </row>
    <row r="434" spans="25:26" ht="26.25">
      <c r="Y434" s="6"/>
      <c r="Z434" s="6"/>
    </row>
    <row r="435" spans="25:26" ht="26.25">
      <c r="Y435" s="6"/>
      <c r="Z435" s="6"/>
    </row>
    <row r="436" spans="25:26" ht="26.25">
      <c r="Y436" s="6"/>
      <c r="Z436" s="6"/>
    </row>
    <row r="437" spans="25:26" ht="26.25">
      <c r="Y437" s="6"/>
      <c r="Z437" s="6"/>
    </row>
    <row r="438" spans="25:26" ht="26.25">
      <c r="Y438" s="6"/>
      <c r="Z438" s="6"/>
    </row>
    <row r="439" spans="25:26" ht="26.25">
      <c r="Y439" s="6"/>
      <c r="Z439" s="6"/>
    </row>
    <row r="440" spans="25:26" ht="26.25">
      <c r="Y440" s="6"/>
      <c r="Z440" s="6"/>
    </row>
    <row r="441" spans="25:26" ht="26.25">
      <c r="Y441" s="6"/>
      <c r="Z441" s="6"/>
    </row>
    <row r="442" spans="25:26" ht="26.25">
      <c r="Y442" s="6"/>
      <c r="Z442" s="6"/>
    </row>
    <row r="443" spans="25:26" ht="26.25">
      <c r="Y443" s="6"/>
      <c r="Z443" s="6"/>
    </row>
    <row r="444" spans="25:26" ht="26.25">
      <c r="Y444" s="6"/>
      <c r="Z444" s="6"/>
    </row>
    <row r="445" spans="25:26" ht="26.25">
      <c r="Y445" s="6"/>
      <c r="Z445" s="6"/>
    </row>
    <row r="446" spans="25:26" ht="26.25">
      <c r="Y446" s="6"/>
      <c r="Z446" s="6"/>
    </row>
    <row r="447" spans="25:26" ht="26.25">
      <c r="Y447" s="6"/>
      <c r="Z447" s="6"/>
    </row>
    <row r="448" spans="25:26" ht="26.25">
      <c r="Y448" s="6"/>
      <c r="Z448" s="6"/>
    </row>
    <row r="449" spans="25:26" ht="26.25">
      <c r="Y449" s="6"/>
      <c r="Z449" s="6"/>
    </row>
    <row r="450" spans="25:26" ht="26.25">
      <c r="Y450" s="6"/>
      <c r="Z450" s="6"/>
    </row>
    <row r="451" spans="25:26" ht="26.25">
      <c r="Y451" s="6"/>
      <c r="Z451" s="6"/>
    </row>
    <row r="452" spans="25:26" ht="26.25">
      <c r="Y452" s="6"/>
      <c r="Z452" s="6"/>
    </row>
    <row r="453" spans="25:26" ht="26.25">
      <c r="Y453" s="6"/>
      <c r="Z453" s="6"/>
    </row>
    <row r="454" spans="25:26" ht="26.25">
      <c r="Y454" s="6"/>
      <c r="Z454" s="6"/>
    </row>
    <row r="455" spans="25:26" ht="26.25">
      <c r="Y455" s="6"/>
      <c r="Z455" s="6"/>
    </row>
    <row r="456" spans="25:26" ht="26.25">
      <c r="Y456" s="6"/>
      <c r="Z456" s="6"/>
    </row>
    <row r="457" spans="25:26" ht="26.25">
      <c r="Y457" s="6"/>
      <c r="Z457" s="6"/>
    </row>
    <row r="458" spans="25:26" ht="26.25">
      <c r="Y458" s="6"/>
      <c r="Z458" s="6"/>
    </row>
    <row r="459" spans="25:26" ht="26.25">
      <c r="Y459" s="6"/>
      <c r="Z459" s="6"/>
    </row>
    <row r="460" spans="25:26" ht="26.25">
      <c r="Y460" s="6"/>
      <c r="Z460" s="6"/>
    </row>
    <row r="461" spans="25:26" ht="26.25">
      <c r="Y461" s="6"/>
      <c r="Z461" s="6"/>
    </row>
    <row r="462" spans="25:26" ht="26.25">
      <c r="Y462" s="6"/>
      <c r="Z462" s="6"/>
    </row>
    <row r="463" spans="25:26" ht="26.25">
      <c r="Y463" s="6"/>
      <c r="Z463" s="6"/>
    </row>
    <row r="464" spans="25:26" ht="26.25">
      <c r="Y464" s="6"/>
      <c r="Z464" s="6"/>
    </row>
    <row r="465" spans="25:26" ht="26.25">
      <c r="Y465" s="6"/>
      <c r="Z465" s="6"/>
    </row>
    <row r="466" spans="25:26" ht="26.25">
      <c r="Y466" s="6"/>
      <c r="Z466" s="6"/>
    </row>
    <row r="467" spans="25:26" ht="26.25">
      <c r="Y467" s="6"/>
      <c r="Z467" s="6"/>
    </row>
    <row r="468" spans="25:26" ht="26.25">
      <c r="Y468" s="6"/>
      <c r="Z468" s="6"/>
    </row>
    <row r="469" spans="25:26" ht="26.25">
      <c r="Y469" s="6"/>
      <c r="Z469" s="6"/>
    </row>
    <row r="470" spans="25:26" ht="26.25">
      <c r="Y470" s="6"/>
      <c r="Z470" s="6"/>
    </row>
    <row r="471" spans="25:26" ht="26.25">
      <c r="Y471" s="6"/>
      <c r="Z471" s="6"/>
    </row>
    <row r="472" spans="25:26" ht="26.25">
      <c r="Y472" s="6"/>
      <c r="Z472" s="6"/>
    </row>
    <row r="473" spans="25:26" ht="26.25">
      <c r="Y473" s="6"/>
      <c r="Z473" s="6"/>
    </row>
    <row r="474" spans="25:26" ht="26.25">
      <c r="Y474" s="6"/>
      <c r="Z474" s="6"/>
    </row>
    <row r="475" spans="25:26" ht="26.25">
      <c r="Y475" s="6"/>
      <c r="Z475" s="6"/>
    </row>
    <row r="476" spans="25:26" ht="26.25">
      <c r="Y476" s="6"/>
      <c r="Z476" s="6"/>
    </row>
    <row r="477" spans="25:26" ht="26.25">
      <c r="Y477" s="6"/>
      <c r="Z477" s="6"/>
    </row>
    <row r="478" spans="25:26" ht="26.25">
      <c r="Y478" s="6"/>
      <c r="Z478" s="6"/>
    </row>
    <row r="479" spans="25:26" ht="26.25">
      <c r="Y479" s="6"/>
      <c r="Z479" s="6"/>
    </row>
    <row r="480" spans="25:26" ht="26.25">
      <c r="Y480" s="6"/>
      <c r="Z480" s="6"/>
    </row>
    <row r="481" spans="25:26" ht="26.25">
      <c r="Y481" s="6"/>
      <c r="Z481" s="6"/>
    </row>
    <row r="482" spans="25:26" ht="26.25">
      <c r="Y482" s="6"/>
      <c r="Z482" s="6"/>
    </row>
    <row r="483" spans="25:26" ht="26.25">
      <c r="Y483" s="6"/>
      <c r="Z483" s="6"/>
    </row>
    <row r="484" spans="25:26" ht="26.25">
      <c r="Y484" s="6"/>
      <c r="Z484" s="6"/>
    </row>
    <row r="485" spans="25:26" ht="26.25">
      <c r="Y485" s="6"/>
      <c r="Z485" s="6"/>
    </row>
    <row r="486" spans="25:26" ht="26.25">
      <c r="Y486" s="6"/>
      <c r="Z486" s="6"/>
    </row>
    <row r="487" spans="25:26" ht="26.25">
      <c r="Y487" s="6"/>
      <c r="Z487" s="6"/>
    </row>
    <row r="488" spans="25:26" ht="26.25">
      <c r="Y488" s="6"/>
      <c r="Z488" s="6"/>
    </row>
    <row r="489" spans="25:26" ht="26.25">
      <c r="Y489" s="6"/>
      <c r="Z489" s="6"/>
    </row>
    <row r="490" spans="25:26" ht="26.25">
      <c r="Y490" s="6"/>
      <c r="Z490" s="6"/>
    </row>
    <row r="491" spans="25:26" ht="26.25">
      <c r="Y491" s="6"/>
      <c r="Z491" s="6"/>
    </row>
    <row r="492" spans="25:26" ht="26.25">
      <c r="Y492" s="6"/>
      <c r="Z492" s="6"/>
    </row>
    <row r="493" spans="25:26" ht="26.25">
      <c r="Y493" s="6"/>
      <c r="Z493" s="6"/>
    </row>
    <row r="494" spans="25:26" ht="26.25">
      <c r="Y494" s="6"/>
      <c r="Z494" s="6"/>
    </row>
    <row r="495" spans="25:26" ht="26.25">
      <c r="Y495" s="6"/>
      <c r="Z495" s="6"/>
    </row>
    <row r="496" spans="25:26" ht="26.25">
      <c r="Y496" s="6"/>
      <c r="Z496" s="6"/>
    </row>
    <row r="497" spans="25:26" ht="26.25">
      <c r="Y497" s="6"/>
      <c r="Z497" s="6"/>
    </row>
    <row r="498" spans="25:26" ht="26.25">
      <c r="Y498" s="6"/>
      <c r="Z498" s="6"/>
    </row>
    <row r="499" spans="25:26" ht="26.25">
      <c r="Y499" s="6"/>
      <c r="Z499" s="6"/>
    </row>
    <row r="500" spans="25:26" ht="26.25">
      <c r="Y500" s="6"/>
      <c r="Z500" s="6"/>
    </row>
    <row r="501" spans="25:26" ht="26.25">
      <c r="Y501" s="6"/>
      <c r="Z501" s="6"/>
    </row>
    <row r="502" spans="25:26" ht="26.25">
      <c r="Y502" s="6"/>
      <c r="Z502" s="6"/>
    </row>
    <row r="503" spans="25:26" ht="26.25">
      <c r="Y503" s="6"/>
      <c r="Z503" s="6"/>
    </row>
    <row r="504" spans="25:26" ht="26.25">
      <c r="Y504" s="6"/>
      <c r="Z504" s="6"/>
    </row>
    <row r="505" spans="25:26" ht="26.25">
      <c r="Y505" s="6"/>
      <c r="Z505" s="6"/>
    </row>
  </sheetData>
  <sheetProtection/>
  <mergeCells count="17">
    <mergeCell ref="A1:AP1"/>
    <mergeCell ref="A2:AP2"/>
    <mergeCell ref="A4:A5"/>
    <mergeCell ref="B4:B5"/>
    <mergeCell ref="C4:C5"/>
    <mergeCell ref="D4:I4"/>
    <mergeCell ref="K4:P4"/>
    <mergeCell ref="R4:W4"/>
    <mergeCell ref="Y4:AE4"/>
    <mergeCell ref="AF4:AL4"/>
    <mergeCell ref="BA49:BE49"/>
    <mergeCell ref="AM4:AS4"/>
    <mergeCell ref="AT4:AZ4"/>
    <mergeCell ref="B49:E49"/>
    <mergeCell ref="U49:V49"/>
    <mergeCell ref="AT49:AW49"/>
    <mergeCell ref="AY49:AZ49"/>
  </mergeCells>
  <printOptions/>
  <pageMargins left="0" right="0" top="0" bottom="0" header="0.1968503937007874" footer="0.2755905511811024"/>
  <pageSetup horizontalDpi="600" verticalDpi="600" orientation="landscape" paperSize="9" scale="25" r:id="rId1"/>
  <colBreaks count="2" manualBreakCount="2">
    <brk id="24" max="48" man="1"/>
    <brk id="45" max="4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M505"/>
  <sheetViews>
    <sheetView view="pageBreakPreview" zoomScale="50" zoomScaleSheetLayoutView="50" zoomScalePageLayoutView="0" workbookViewId="0" topLeftCell="A1">
      <pane xSplit="2" ySplit="6" topLeftCell="X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31" sqref="G31"/>
    </sheetView>
  </sheetViews>
  <sheetFormatPr defaultColWidth="9.00390625" defaultRowHeight="12.75"/>
  <cols>
    <col min="1" max="1" width="11.125" style="5" customWidth="1"/>
    <col min="2" max="2" width="74.00390625" style="5" customWidth="1"/>
    <col min="3" max="3" width="11.125" style="5" customWidth="1"/>
    <col min="4" max="4" width="20.625" style="6" customWidth="1"/>
    <col min="5" max="5" width="22.125" style="92" customWidth="1"/>
    <col min="6" max="6" width="20.125" style="92" customWidth="1"/>
    <col min="7" max="7" width="20.00390625" style="92" customWidth="1"/>
    <col min="8" max="10" width="19.625" style="92" customWidth="1"/>
    <col min="11" max="11" width="21.75390625" style="6" customWidth="1"/>
    <col min="12" max="12" width="20.375" style="6" customWidth="1"/>
    <col min="13" max="13" width="16.625" style="6" customWidth="1"/>
    <col min="14" max="14" width="19.75390625" style="6" customWidth="1"/>
    <col min="15" max="15" width="18.00390625" style="6" customWidth="1"/>
    <col min="16" max="16" width="20.25390625" style="6" customWidth="1"/>
    <col min="17" max="17" width="20.00390625" style="6" customWidth="1"/>
    <col min="18" max="18" width="24.125" style="6" customWidth="1"/>
    <col min="19" max="19" width="23.625" style="6" customWidth="1"/>
    <col min="20" max="20" width="24.00390625" style="6" customWidth="1"/>
    <col min="21" max="21" width="25.625" style="6" customWidth="1"/>
    <col min="22" max="22" width="23.00390625" style="6" customWidth="1"/>
    <col min="23" max="23" width="26.625" style="6" customWidth="1"/>
    <col min="24" max="24" width="23.125" style="6" customWidth="1"/>
    <col min="25" max="25" width="21.625" style="95" customWidth="1"/>
    <col min="26" max="26" width="27.25390625" style="92" customWidth="1"/>
    <col min="27" max="27" width="21.625" style="92" customWidth="1"/>
    <col min="28" max="28" width="20.125" style="92" customWidth="1"/>
    <col min="29" max="29" width="20.375" style="92" customWidth="1"/>
    <col min="30" max="30" width="20.875" style="92" customWidth="1"/>
    <col min="31" max="31" width="21.75390625" style="92" customWidth="1"/>
    <col min="32" max="32" width="17.375" style="6" customWidth="1"/>
    <col min="33" max="33" width="17.75390625" style="6" customWidth="1"/>
    <col min="34" max="34" width="17.875" style="6" customWidth="1"/>
    <col min="35" max="35" width="17.00390625" style="6" customWidth="1"/>
    <col min="36" max="36" width="16.125" style="6" customWidth="1"/>
    <col min="37" max="37" width="17.25390625" style="6" customWidth="1"/>
    <col min="38" max="38" width="19.625" style="6" customWidth="1"/>
    <col min="39" max="39" width="26.875" style="6" customWidth="1"/>
    <col min="40" max="40" width="24.375" style="6" customWidth="1"/>
    <col min="41" max="41" width="25.375" style="6" customWidth="1"/>
    <col min="42" max="42" width="25.625" style="6" customWidth="1"/>
    <col min="43" max="43" width="25.00390625" style="6" customWidth="1"/>
    <col min="44" max="45" width="26.25390625" style="6" customWidth="1"/>
    <col min="46" max="46" width="25.625" style="93" hidden="1" customWidth="1"/>
    <col min="47" max="48" width="23.875" style="6" hidden="1" customWidth="1"/>
    <col min="49" max="49" width="26.125" style="6" hidden="1" customWidth="1"/>
    <col min="50" max="50" width="23.875" style="6" hidden="1" customWidth="1"/>
    <col min="51" max="52" width="25.375" style="6" hidden="1" customWidth="1"/>
    <col min="53" max="65" width="9.125" style="4" customWidth="1"/>
    <col min="66" max="16384" width="9.125" style="5" customWidth="1"/>
  </cols>
  <sheetData>
    <row r="1" spans="1:52" ht="36" customHeight="1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1"/>
      <c r="AR1" s="1"/>
      <c r="AS1" s="1"/>
      <c r="AT1" s="2"/>
      <c r="AU1" s="3"/>
      <c r="AV1" s="3"/>
      <c r="AW1" s="3"/>
      <c r="AX1" s="3"/>
      <c r="AY1" s="3"/>
      <c r="AZ1" s="3"/>
    </row>
    <row r="2" spans="1:52" ht="30" customHeight="1">
      <c r="A2" s="215" t="s">
        <v>53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1"/>
      <c r="AR2" s="1"/>
      <c r="AS2" s="1"/>
      <c r="AT2" s="2"/>
      <c r="AU2" s="3"/>
      <c r="AV2" s="3"/>
      <c r="AW2" s="3"/>
      <c r="AX2" s="3"/>
      <c r="AY2" s="3"/>
      <c r="AZ2" s="3"/>
    </row>
    <row r="3" spans="1:46" ht="11.25" customHeight="1" thickBot="1">
      <c r="A3" s="1"/>
      <c r="B3" s="1"/>
      <c r="D3" s="3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2"/>
    </row>
    <row r="4" spans="1:65" s="8" customFormat="1" ht="30.75" customHeight="1">
      <c r="A4" s="216"/>
      <c r="B4" s="218" t="s">
        <v>7</v>
      </c>
      <c r="C4" s="218"/>
      <c r="D4" s="209" t="s">
        <v>30</v>
      </c>
      <c r="E4" s="210"/>
      <c r="F4" s="210"/>
      <c r="G4" s="210"/>
      <c r="H4" s="210"/>
      <c r="I4" s="220"/>
      <c r="J4" s="111"/>
      <c r="K4" s="209" t="s">
        <v>11</v>
      </c>
      <c r="L4" s="210"/>
      <c r="M4" s="210"/>
      <c r="N4" s="210"/>
      <c r="O4" s="210"/>
      <c r="P4" s="220"/>
      <c r="Q4" s="111"/>
      <c r="R4" s="209" t="s">
        <v>31</v>
      </c>
      <c r="S4" s="210"/>
      <c r="T4" s="210"/>
      <c r="U4" s="210"/>
      <c r="V4" s="210"/>
      <c r="W4" s="220"/>
      <c r="X4" s="111"/>
      <c r="Y4" s="209" t="s">
        <v>8</v>
      </c>
      <c r="Z4" s="210"/>
      <c r="AA4" s="210"/>
      <c r="AB4" s="210"/>
      <c r="AC4" s="210"/>
      <c r="AD4" s="210"/>
      <c r="AE4" s="220"/>
      <c r="AF4" s="221" t="s">
        <v>10</v>
      </c>
      <c r="AG4" s="222"/>
      <c r="AH4" s="222"/>
      <c r="AI4" s="222"/>
      <c r="AJ4" s="222"/>
      <c r="AK4" s="222"/>
      <c r="AL4" s="223"/>
      <c r="AM4" s="209" t="s">
        <v>32</v>
      </c>
      <c r="AN4" s="210"/>
      <c r="AO4" s="210"/>
      <c r="AP4" s="210"/>
      <c r="AQ4" s="210"/>
      <c r="AR4" s="210"/>
      <c r="AS4" s="210"/>
      <c r="AT4" s="211" t="s">
        <v>33</v>
      </c>
      <c r="AU4" s="210"/>
      <c r="AV4" s="210"/>
      <c r="AW4" s="210"/>
      <c r="AX4" s="210"/>
      <c r="AY4" s="210"/>
      <c r="AZ4" s="212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52" ht="50.25" customHeight="1">
      <c r="A5" s="217"/>
      <c r="B5" s="219"/>
      <c r="C5" s="219"/>
      <c r="D5" s="11" t="s">
        <v>6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12" t="s">
        <v>36</v>
      </c>
      <c r="K5" s="11" t="s">
        <v>6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36</v>
      </c>
      <c r="R5" s="11" t="s">
        <v>6</v>
      </c>
      <c r="S5" s="12" t="s">
        <v>12</v>
      </c>
      <c r="T5" s="12" t="s">
        <v>13</v>
      </c>
      <c r="U5" s="12" t="s">
        <v>14</v>
      </c>
      <c r="V5" s="12" t="s">
        <v>15</v>
      </c>
      <c r="W5" s="12" t="s">
        <v>16</v>
      </c>
      <c r="X5" s="12" t="s">
        <v>36</v>
      </c>
      <c r="Y5" s="11" t="s">
        <v>6</v>
      </c>
      <c r="Z5" s="12" t="s">
        <v>12</v>
      </c>
      <c r="AA5" s="12" t="s">
        <v>13</v>
      </c>
      <c r="AB5" s="12" t="s">
        <v>14</v>
      </c>
      <c r="AC5" s="12" t="s">
        <v>15</v>
      </c>
      <c r="AD5" s="12" t="s">
        <v>16</v>
      </c>
      <c r="AE5" s="12" t="s">
        <v>36</v>
      </c>
      <c r="AF5" s="11" t="s">
        <v>6</v>
      </c>
      <c r="AG5" s="12" t="s">
        <v>12</v>
      </c>
      <c r="AH5" s="12" t="s">
        <v>13</v>
      </c>
      <c r="AI5" s="12" t="s">
        <v>14</v>
      </c>
      <c r="AJ5" s="12" t="s">
        <v>15</v>
      </c>
      <c r="AK5" s="12" t="s">
        <v>16</v>
      </c>
      <c r="AL5" s="12" t="s">
        <v>36</v>
      </c>
      <c r="AM5" s="14" t="s">
        <v>6</v>
      </c>
      <c r="AN5" s="12" t="s">
        <v>12</v>
      </c>
      <c r="AO5" s="12" t="s">
        <v>13</v>
      </c>
      <c r="AP5" s="12" t="s">
        <v>14</v>
      </c>
      <c r="AQ5" s="12" t="s">
        <v>15</v>
      </c>
      <c r="AR5" s="12" t="s">
        <v>16</v>
      </c>
      <c r="AS5" s="112" t="s">
        <v>36</v>
      </c>
      <c r="AT5" s="114" t="s">
        <v>6</v>
      </c>
      <c r="AU5" s="16" t="s">
        <v>12</v>
      </c>
      <c r="AV5" s="16" t="s">
        <v>13</v>
      </c>
      <c r="AW5" s="16" t="s">
        <v>14</v>
      </c>
      <c r="AX5" s="16" t="s">
        <v>15</v>
      </c>
      <c r="AY5" s="16" t="s">
        <v>16</v>
      </c>
      <c r="AZ5" s="110" t="s">
        <v>36</v>
      </c>
    </row>
    <row r="6" spans="1:65" s="22" customFormat="1" ht="25.5" customHeight="1" thickBot="1">
      <c r="A6" s="17"/>
      <c r="B6" s="18">
        <v>2</v>
      </c>
      <c r="C6" s="18"/>
      <c r="D6" s="19">
        <v>3</v>
      </c>
      <c r="E6" s="18"/>
      <c r="F6" s="18"/>
      <c r="G6" s="18"/>
      <c r="H6" s="18"/>
      <c r="I6" s="18"/>
      <c r="J6" s="18"/>
      <c r="K6" s="19">
        <v>4</v>
      </c>
      <c r="L6" s="20"/>
      <c r="M6" s="20"/>
      <c r="N6" s="20"/>
      <c r="O6" s="20"/>
      <c r="P6" s="20"/>
      <c r="Q6" s="20"/>
      <c r="R6" s="19">
        <v>5</v>
      </c>
      <c r="S6" s="20"/>
      <c r="T6" s="20"/>
      <c r="U6" s="20"/>
      <c r="V6" s="20"/>
      <c r="W6" s="20"/>
      <c r="X6" s="20"/>
      <c r="Y6" s="19">
        <v>6</v>
      </c>
      <c r="Z6" s="18"/>
      <c r="AA6" s="18"/>
      <c r="AB6" s="18"/>
      <c r="AC6" s="18"/>
      <c r="AD6" s="18"/>
      <c r="AE6" s="18"/>
      <c r="AF6" s="19">
        <v>7</v>
      </c>
      <c r="AG6" s="20"/>
      <c r="AH6" s="20"/>
      <c r="AI6" s="20"/>
      <c r="AJ6" s="20"/>
      <c r="AK6" s="20"/>
      <c r="AL6" s="20"/>
      <c r="AM6" s="19">
        <v>8</v>
      </c>
      <c r="AN6" s="20"/>
      <c r="AO6" s="20"/>
      <c r="AP6" s="20"/>
      <c r="AQ6" s="20"/>
      <c r="AR6" s="20"/>
      <c r="AS6" s="113"/>
      <c r="AT6" s="115">
        <v>9</v>
      </c>
      <c r="AU6" s="116"/>
      <c r="AV6" s="116"/>
      <c r="AW6" s="116"/>
      <c r="AX6" s="116"/>
      <c r="AY6" s="116"/>
      <c r="AZ6" s="117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</row>
    <row r="7" spans="1:65" s="29" customFormat="1" ht="43.5" customHeight="1" thickBot="1">
      <c r="A7" s="23">
        <v>1</v>
      </c>
      <c r="B7" s="24" t="s">
        <v>2</v>
      </c>
      <c r="C7" s="24" t="s">
        <v>4</v>
      </c>
      <c r="D7" s="25">
        <f aca="true" t="shared" si="0" ref="D7:J7">SUM(D8:D18)</f>
        <v>1.0544913250116712</v>
      </c>
      <c r="E7" s="25">
        <f t="shared" si="0"/>
        <v>0</v>
      </c>
      <c r="F7" s="25">
        <f t="shared" si="0"/>
        <v>0</v>
      </c>
      <c r="G7" s="25">
        <f t="shared" si="0"/>
        <v>1.0544913250116712</v>
      </c>
      <c r="H7" s="25">
        <f t="shared" si="0"/>
        <v>0</v>
      </c>
      <c r="I7" s="25">
        <f t="shared" si="0"/>
        <v>0</v>
      </c>
      <c r="J7" s="25">
        <f t="shared" si="0"/>
        <v>0</v>
      </c>
      <c r="K7" s="27">
        <f aca="true" t="shared" si="1" ref="K7:P7">R7/D7</f>
        <v>1306.6299999999999</v>
      </c>
      <c r="L7" s="27" t="e">
        <f t="shared" si="1"/>
        <v>#DIV/0!</v>
      </c>
      <c r="M7" s="27" t="e">
        <f t="shared" si="1"/>
        <v>#DIV/0!</v>
      </c>
      <c r="N7" s="27">
        <f t="shared" si="1"/>
        <v>1306.6299999999999</v>
      </c>
      <c r="O7" s="27" t="e">
        <f t="shared" si="1"/>
        <v>#DIV/0!</v>
      </c>
      <c r="P7" s="27" t="e">
        <f t="shared" si="1"/>
        <v>#DIV/0!</v>
      </c>
      <c r="Q7" s="27" t="e">
        <f>Y7/J7</f>
        <v>#DIV/0!</v>
      </c>
      <c r="R7" s="27">
        <f aca="true" t="shared" si="2" ref="R7:AE7">SUM(R8:R18)</f>
        <v>1377.83</v>
      </c>
      <c r="S7" s="27">
        <f t="shared" si="2"/>
        <v>0</v>
      </c>
      <c r="T7" s="27">
        <f t="shared" si="2"/>
        <v>0</v>
      </c>
      <c r="U7" s="27">
        <f t="shared" si="2"/>
        <v>1377.83</v>
      </c>
      <c r="V7" s="27">
        <f t="shared" si="2"/>
        <v>0</v>
      </c>
      <c r="W7" s="27">
        <f t="shared" si="2"/>
        <v>0</v>
      </c>
      <c r="X7" s="27">
        <f t="shared" si="2"/>
        <v>0</v>
      </c>
      <c r="Y7" s="59">
        <f t="shared" si="2"/>
        <v>1.0544913250116712</v>
      </c>
      <c r="Z7" s="59">
        <f t="shared" si="2"/>
        <v>0</v>
      </c>
      <c r="AA7" s="59">
        <f t="shared" si="2"/>
        <v>0</v>
      </c>
      <c r="AB7" s="59">
        <f t="shared" si="2"/>
        <v>1.0544913250116712</v>
      </c>
      <c r="AC7" s="59">
        <f t="shared" si="2"/>
        <v>0</v>
      </c>
      <c r="AD7" s="59">
        <f t="shared" si="2"/>
        <v>0</v>
      </c>
      <c r="AE7" s="59">
        <f t="shared" si="2"/>
        <v>0</v>
      </c>
      <c r="AF7" s="28">
        <f>AM7/Y7</f>
        <v>1306.6299999999999</v>
      </c>
      <c r="AG7" s="101" t="e">
        <f>AN7/Z7</f>
        <v>#DIV/0!</v>
      </c>
      <c r="AH7" s="101">
        <f>AH10</f>
        <v>1306.63</v>
      </c>
      <c r="AI7" s="101">
        <f>AI9</f>
        <v>1306.63</v>
      </c>
      <c r="AJ7" s="101">
        <f>AJ12</f>
        <v>1306.63</v>
      </c>
      <c r="AK7" s="27">
        <f>AK12</f>
        <v>1306.63</v>
      </c>
      <c r="AL7" s="27" t="e">
        <f>AS7/AE7</f>
        <v>#DIV/0!</v>
      </c>
      <c r="AM7" s="27">
        <f aca="true" t="shared" si="3" ref="AM7:AZ7">SUM(AM8:AM18)</f>
        <v>1377.83</v>
      </c>
      <c r="AN7" s="27">
        <f t="shared" si="3"/>
        <v>0</v>
      </c>
      <c r="AO7" s="27">
        <f t="shared" si="3"/>
        <v>0</v>
      </c>
      <c r="AP7" s="27">
        <f t="shared" si="3"/>
        <v>1377.83</v>
      </c>
      <c r="AQ7" s="27">
        <f t="shared" si="3"/>
        <v>0</v>
      </c>
      <c r="AR7" s="27">
        <f t="shared" si="3"/>
        <v>0</v>
      </c>
      <c r="AS7" s="27">
        <f t="shared" si="3"/>
        <v>0</v>
      </c>
      <c r="AT7" s="118">
        <f t="shared" si="3"/>
        <v>0</v>
      </c>
      <c r="AU7" s="27">
        <f t="shared" si="3"/>
        <v>0</v>
      </c>
      <c r="AV7" s="27">
        <f t="shared" si="3"/>
        <v>0</v>
      </c>
      <c r="AW7" s="27">
        <f t="shared" si="3"/>
        <v>0</v>
      </c>
      <c r="AX7" s="27">
        <f t="shared" si="3"/>
        <v>0</v>
      </c>
      <c r="AY7" s="27">
        <f t="shared" si="3"/>
        <v>0</v>
      </c>
      <c r="AZ7" s="27">
        <f t="shared" si="3"/>
        <v>0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</row>
    <row r="8" spans="1:52" ht="53.25" customHeight="1">
      <c r="A8" s="38"/>
      <c r="B8" s="47" t="s">
        <v>20</v>
      </c>
      <c r="C8" s="48"/>
      <c r="D8" s="49">
        <f aca="true" t="shared" si="4" ref="D8:D16">SUM(E8:I8)</f>
        <v>0</v>
      </c>
      <c r="E8" s="45">
        <f>S8/L8</f>
        <v>0</v>
      </c>
      <c r="F8" s="45"/>
      <c r="G8" s="45"/>
      <c r="H8" s="45"/>
      <c r="I8" s="45"/>
      <c r="J8" s="45"/>
      <c r="K8" s="14" t="e">
        <f aca="true" t="shared" si="5" ref="K8:K22">R8/D8</f>
        <v>#DIV/0!</v>
      </c>
      <c r="L8" s="13">
        <v>1393.74</v>
      </c>
      <c r="M8" s="13"/>
      <c r="N8" s="13"/>
      <c r="O8" s="13"/>
      <c r="P8" s="13"/>
      <c r="Q8" s="37"/>
      <c r="R8" s="15">
        <f aca="true" t="shared" si="6" ref="R8:R16">SUM(S8:W8)</f>
        <v>0</v>
      </c>
      <c r="S8" s="50"/>
      <c r="T8" s="50"/>
      <c r="U8" s="50"/>
      <c r="V8" s="50"/>
      <c r="W8" s="50"/>
      <c r="X8" s="13"/>
      <c r="Y8" s="67">
        <f aca="true" t="shared" si="7" ref="Y8:Y16">SUM(Z8:AD8)</f>
        <v>0</v>
      </c>
      <c r="Z8" s="97">
        <f>AN8/AG8</f>
        <v>0</v>
      </c>
      <c r="AA8" s="97"/>
      <c r="AB8" s="97"/>
      <c r="AC8" s="97"/>
      <c r="AD8" s="97"/>
      <c r="AE8" s="97"/>
      <c r="AF8" s="14">
        <f>AG8</f>
        <v>1393.74</v>
      </c>
      <c r="AG8" s="13">
        <v>1393.74</v>
      </c>
      <c r="AH8" s="13"/>
      <c r="AI8" s="13"/>
      <c r="AJ8" s="13"/>
      <c r="AK8" s="13"/>
      <c r="AL8" s="37"/>
      <c r="AM8" s="15">
        <f aca="true" t="shared" si="8" ref="AM8:AM16">SUM(AN8:AR8)</f>
        <v>0</v>
      </c>
      <c r="AN8" s="50"/>
      <c r="AO8" s="50"/>
      <c r="AP8" s="50"/>
      <c r="AQ8" s="50"/>
      <c r="AR8" s="50"/>
      <c r="AS8" s="13"/>
      <c r="AT8" s="15">
        <f aca="true" t="shared" si="9" ref="AT8:AT16">SUM(AU8:AY8)</f>
        <v>0</v>
      </c>
      <c r="AU8" s="37">
        <f>(L8-AG8)*E8</f>
        <v>0</v>
      </c>
      <c r="AV8" s="37"/>
      <c r="AW8" s="37"/>
      <c r="AX8" s="37"/>
      <c r="AY8" s="37"/>
      <c r="AZ8" s="13"/>
    </row>
    <row r="9" spans="1:52" ht="53.25" customHeight="1">
      <c r="A9" s="38"/>
      <c r="B9" s="47" t="s">
        <v>21</v>
      </c>
      <c r="C9" s="48"/>
      <c r="D9" s="51">
        <f t="shared" si="4"/>
        <v>0</v>
      </c>
      <c r="E9" s="45"/>
      <c r="F9" s="45"/>
      <c r="G9" s="52">
        <f>U9/N9</f>
        <v>0</v>
      </c>
      <c r="H9" s="45"/>
      <c r="I9" s="45"/>
      <c r="J9" s="45"/>
      <c r="K9" s="14" t="e">
        <f t="shared" si="5"/>
        <v>#DIV/0!</v>
      </c>
      <c r="L9" s="13"/>
      <c r="M9" s="13"/>
      <c r="N9" s="13">
        <v>1306.63</v>
      </c>
      <c r="O9" s="13"/>
      <c r="P9" s="13"/>
      <c r="Q9" s="37"/>
      <c r="R9" s="15">
        <f t="shared" si="6"/>
        <v>0</v>
      </c>
      <c r="S9" s="50"/>
      <c r="T9" s="50"/>
      <c r="U9" s="50"/>
      <c r="V9" s="50"/>
      <c r="W9" s="50"/>
      <c r="X9" s="13"/>
      <c r="Y9" s="67">
        <f t="shared" si="7"/>
        <v>0</v>
      </c>
      <c r="Z9" s="97"/>
      <c r="AA9" s="97"/>
      <c r="AB9" s="97">
        <f>AP9/AI9</f>
        <v>0</v>
      </c>
      <c r="AC9" s="97"/>
      <c r="AD9" s="97"/>
      <c r="AE9" s="97"/>
      <c r="AF9" s="14">
        <f>AI9</f>
        <v>1306.63</v>
      </c>
      <c r="AG9" s="13"/>
      <c r="AH9" s="13"/>
      <c r="AI9" s="13">
        <v>1306.63</v>
      </c>
      <c r="AJ9" s="13"/>
      <c r="AK9" s="13"/>
      <c r="AL9" s="37"/>
      <c r="AM9" s="15">
        <f t="shared" si="8"/>
        <v>0</v>
      </c>
      <c r="AN9" s="50"/>
      <c r="AO9" s="50"/>
      <c r="AP9" s="50"/>
      <c r="AQ9" s="50"/>
      <c r="AR9" s="50"/>
      <c r="AS9" s="13"/>
      <c r="AT9" s="15">
        <f t="shared" si="9"/>
        <v>0</v>
      </c>
      <c r="AU9" s="37"/>
      <c r="AV9" s="37"/>
      <c r="AW9" s="37">
        <f>(N9-AI9)*G9</f>
        <v>0</v>
      </c>
      <c r="AX9" s="37"/>
      <c r="AY9" s="37"/>
      <c r="AZ9" s="13"/>
    </row>
    <row r="10" spans="1:52" ht="54.75" customHeight="1">
      <c r="A10" s="40"/>
      <c r="B10" s="54" t="s">
        <v>43</v>
      </c>
      <c r="C10" s="40"/>
      <c r="D10" s="49">
        <f t="shared" si="4"/>
        <v>0</v>
      </c>
      <c r="E10" s="45"/>
      <c r="F10" s="45">
        <f>T10/M10</f>
        <v>0</v>
      </c>
      <c r="G10" s="45"/>
      <c r="H10" s="45"/>
      <c r="I10" s="45"/>
      <c r="J10" s="45"/>
      <c r="K10" s="14" t="e">
        <f t="shared" si="5"/>
        <v>#DIV/0!</v>
      </c>
      <c r="L10" s="13"/>
      <c r="M10" s="13">
        <v>1306.63</v>
      </c>
      <c r="N10" s="13"/>
      <c r="O10" s="13"/>
      <c r="P10" s="13"/>
      <c r="Q10" s="37"/>
      <c r="R10" s="15">
        <f t="shared" si="6"/>
        <v>0</v>
      </c>
      <c r="S10" s="13"/>
      <c r="T10" s="13"/>
      <c r="U10" s="13"/>
      <c r="V10" s="13"/>
      <c r="W10" s="13"/>
      <c r="X10" s="37"/>
      <c r="Y10" s="67">
        <f t="shared" si="7"/>
        <v>0</v>
      </c>
      <c r="Z10" s="97"/>
      <c r="AA10" s="97">
        <f>AO10/AH10</f>
        <v>0</v>
      </c>
      <c r="AB10" s="97"/>
      <c r="AC10" s="97"/>
      <c r="AD10" s="97"/>
      <c r="AE10" s="97"/>
      <c r="AF10" s="14">
        <f>AH10</f>
        <v>1306.63</v>
      </c>
      <c r="AG10" s="13"/>
      <c r="AH10" s="13">
        <v>1306.63</v>
      </c>
      <c r="AI10" s="13"/>
      <c r="AJ10" s="13"/>
      <c r="AK10" s="13"/>
      <c r="AL10" s="37"/>
      <c r="AM10" s="15">
        <f t="shared" si="8"/>
        <v>0</v>
      </c>
      <c r="AN10" s="13"/>
      <c r="AO10" s="13"/>
      <c r="AP10" s="13"/>
      <c r="AQ10" s="13"/>
      <c r="AR10" s="13"/>
      <c r="AS10" s="13"/>
      <c r="AT10" s="15">
        <f t="shared" si="9"/>
        <v>0</v>
      </c>
      <c r="AU10" s="37"/>
      <c r="AV10" s="37">
        <f>(M10-AH10)*F10</f>
        <v>0</v>
      </c>
      <c r="AW10" s="37"/>
      <c r="AX10" s="37"/>
      <c r="AY10" s="37"/>
      <c r="AZ10" s="13"/>
    </row>
    <row r="11" spans="1:52" ht="42" customHeight="1">
      <c r="A11" s="40"/>
      <c r="B11" s="54" t="s">
        <v>22</v>
      </c>
      <c r="C11" s="40"/>
      <c r="D11" s="41">
        <f t="shared" si="4"/>
        <v>0</v>
      </c>
      <c r="E11" s="42"/>
      <c r="F11" s="42"/>
      <c r="G11" s="42">
        <f>U11/N11</f>
        <v>0</v>
      </c>
      <c r="H11" s="42"/>
      <c r="I11" s="42"/>
      <c r="J11" s="42"/>
      <c r="K11" s="14" t="e">
        <f t="shared" si="5"/>
        <v>#DIV/0!</v>
      </c>
      <c r="L11" s="13"/>
      <c r="M11" s="13"/>
      <c r="N11" s="13">
        <v>1306.63</v>
      </c>
      <c r="O11" s="13"/>
      <c r="P11" s="13"/>
      <c r="Q11" s="13"/>
      <c r="R11" s="14">
        <f t="shared" si="6"/>
        <v>0</v>
      </c>
      <c r="S11" s="13"/>
      <c r="T11" s="13"/>
      <c r="U11" s="13"/>
      <c r="V11" s="13"/>
      <c r="W11" s="13"/>
      <c r="X11" s="13"/>
      <c r="Y11" s="64">
        <f t="shared" si="7"/>
        <v>0</v>
      </c>
      <c r="Z11" s="65"/>
      <c r="AA11" s="65"/>
      <c r="AB11" s="65">
        <f>AP11/AI11</f>
        <v>0</v>
      </c>
      <c r="AC11" s="65"/>
      <c r="AD11" s="65"/>
      <c r="AE11" s="65"/>
      <c r="AF11" s="14">
        <f>AI11</f>
        <v>1306.63</v>
      </c>
      <c r="AG11" s="13"/>
      <c r="AH11" s="13"/>
      <c r="AI11" s="13">
        <v>1306.63</v>
      </c>
      <c r="AJ11" s="13"/>
      <c r="AK11" s="13"/>
      <c r="AL11" s="13"/>
      <c r="AM11" s="14">
        <f t="shared" si="8"/>
        <v>0</v>
      </c>
      <c r="AN11" s="13"/>
      <c r="AO11" s="13"/>
      <c r="AP11" s="13"/>
      <c r="AQ11" s="13"/>
      <c r="AR11" s="13"/>
      <c r="AS11" s="13"/>
      <c r="AT11" s="14">
        <f t="shared" si="9"/>
        <v>0</v>
      </c>
      <c r="AU11" s="37"/>
      <c r="AV11" s="37"/>
      <c r="AW11" s="37">
        <f>(N11-AI11)*G11</f>
        <v>0</v>
      </c>
      <c r="AX11" s="37"/>
      <c r="AY11" s="37"/>
      <c r="AZ11" s="13"/>
    </row>
    <row r="12" spans="1:52" ht="33" customHeight="1">
      <c r="A12" s="30"/>
      <c r="B12" s="31" t="s">
        <v>17</v>
      </c>
      <c r="C12" s="32"/>
      <c r="D12" s="33">
        <f t="shared" si="4"/>
        <v>0</v>
      </c>
      <c r="E12" s="34">
        <f>S12/L12</f>
        <v>0</v>
      </c>
      <c r="F12" s="34">
        <f>T12/M12</f>
        <v>0</v>
      </c>
      <c r="G12" s="34">
        <f>U12/N12</f>
        <v>0</v>
      </c>
      <c r="H12" s="34">
        <f>V12/O12</f>
        <v>0</v>
      </c>
      <c r="I12" s="34">
        <f>W12/P12</f>
        <v>0</v>
      </c>
      <c r="J12" s="34"/>
      <c r="K12" s="35" t="e">
        <f t="shared" si="5"/>
        <v>#DIV/0!</v>
      </c>
      <c r="L12" s="37">
        <v>1306.63</v>
      </c>
      <c r="M12" s="37">
        <f>L12</f>
        <v>1306.63</v>
      </c>
      <c r="N12" s="37">
        <f>M12</f>
        <v>1306.63</v>
      </c>
      <c r="O12" s="37">
        <f>N12</f>
        <v>1306.63</v>
      </c>
      <c r="P12" s="37">
        <f>O12</f>
        <v>1306.63</v>
      </c>
      <c r="Q12" s="36"/>
      <c r="R12" s="35">
        <f t="shared" si="6"/>
        <v>0</v>
      </c>
      <c r="S12" s="36"/>
      <c r="T12" s="36"/>
      <c r="U12" s="36"/>
      <c r="V12" s="36"/>
      <c r="W12" s="36"/>
      <c r="X12" s="36"/>
      <c r="Y12" s="62">
        <f t="shared" si="7"/>
        <v>0</v>
      </c>
      <c r="Z12" s="34">
        <f>AN12/AG12</f>
        <v>0</v>
      </c>
      <c r="AA12" s="34">
        <f>AO12/AH12</f>
        <v>0</v>
      </c>
      <c r="AB12" s="34">
        <f>AP12/AI12</f>
        <v>0</v>
      </c>
      <c r="AC12" s="34">
        <f>AQ12/AJ12</f>
        <v>0</v>
      </c>
      <c r="AD12" s="34">
        <f>AR12/AK12</f>
        <v>0</v>
      </c>
      <c r="AE12" s="34"/>
      <c r="AF12" s="15">
        <f>AG12</f>
        <v>1306.63</v>
      </c>
      <c r="AG12" s="37">
        <v>1306.63</v>
      </c>
      <c r="AH12" s="37">
        <f>AG12</f>
        <v>1306.63</v>
      </c>
      <c r="AI12" s="37">
        <f>AH12</f>
        <v>1306.63</v>
      </c>
      <c r="AJ12" s="37">
        <f>AI12</f>
        <v>1306.63</v>
      </c>
      <c r="AK12" s="37">
        <f>AJ12</f>
        <v>1306.63</v>
      </c>
      <c r="AL12" s="36"/>
      <c r="AM12" s="35">
        <f t="shared" si="8"/>
        <v>0</v>
      </c>
      <c r="AN12" s="36"/>
      <c r="AO12" s="36"/>
      <c r="AP12" s="36"/>
      <c r="AQ12" s="36"/>
      <c r="AR12" s="36"/>
      <c r="AS12" s="36"/>
      <c r="AT12" s="35">
        <f t="shared" si="9"/>
        <v>0</v>
      </c>
      <c r="AU12" s="37">
        <f>(L12-AG12)*E12</f>
        <v>0</v>
      </c>
      <c r="AV12" s="37">
        <f>(M12-AH12)*F12</f>
        <v>0</v>
      </c>
      <c r="AW12" s="37">
        <f>(N12-AI12)*G12</f>
        <v>0</v>
      </c>
      <c r="AX12" s="37">
        <f>(O12-AJ12)*H12</f>
        <v>0</v>
      </c>
      <c r="AY12" s="37">
        <f>(P12-AK12)*I12</f>
        <v>0</v>
      </c>
      <c r="AZ12" s="37"/>
    </row>
    <row r="13" spans="1:52" ht="63.75" customHeight="1">
      <c r="A13" s="38"/>
      <c r="B13" s="39" t="s">
        <v>42</v>
      </c>
      <c r="C13" s="40"/>
      <c r="D13" s="41">
        <f t="shared" si="4"/>
        <v>0</v>
      </c>
      <c r="E13" s="42"/>
      <c r="F13" s="42"/>
      <c r="G13" s="42"/>
      <c r="H13" s="42"/>
      <c r="I13" s="42">
        <f>W13/P13</f>
        <v>0</v>
      </c>
      <c r="J13" s="42"/>
      <c r="K13" s="14" t="e">
        <f t="shared" si="5"/>
        <v>#DIV/0!</v>
      </c>
      <c r="L13" s="13"/>
      <c r="M13" s="13"/>
      <c r="N13" s="13"/>
      <c r="O13" s="13"/>
      <c r="P13" s="13">
        <v>1306.63</v>
      </c>
      <c r="Q13" s="13"/>
      <c r="R13" s="14">
        <f t="shared" si="6"/>
        <v>0</v>
      </c>
      <c r="S13" s="13"/>
      <c r="T13" s="13"/>
      <c r="U13" s="13"/>
      <c r="V13" s="13"/>
      <c r="W13" s="13"/>
      <c r="X13" s="13"/>
      <c r="Y13" s="64">
        <f t="shared" si="7"/>
        <v>0</v>
      </c>
      <c r="Z13" s="65"/>
      <c r="AA13" s="65"/>
      <c r="AB13" s="65"/>
      <c r="AC13" s="65"/>
      <c r="AD13" s="65">
        <f>AR13/AK13</f>
        <v>0</v>
      </c>
      <c r="AE13" s="65"/>
      <c r="AF13" s="14">
        <f>AK13</f>
        <v>1306.63</v>
      </c>
      <c r="AG13" s="13"/>
      <c r="AH13" s="13"/>
      <c r="AI13" s="13"/>
      <c r="AJ13" s="13"/>
      <c r="AK13" s="13">
        <v>1306.63</v>
      </c>
      <c r="AL13" s="13"/>
      <c r="AM13" s="14">
        <f t="shared" si="8"/>
        <v>0</v>
      </c>
      <c r="AN13" s="13"/>
      <c r="AO13" s="13"/>
      <c r="AP13" s="13"/>
      <c r="AQ13" s="13"/>
      <c r="AR13" s="13"/>
      <c r="AS13" s="13"/>
      <c r="AT13" s="14">
        <f t="shared" si="9"/>
        <v>0</v>
      </c>
      <c r="AU13" s="37"/>
      <c r="AV13" s="37"/>
      <c r="AW13" s="37"/>
      <c r="AX13" s="37"/>
      <c r="AY13" s="37">
        <f>(P13-AK13)*I13</f>
        <v>0</v>
      </c>
      <c r="AZ13" s="13"/>
    </row>
    <row r="14" spans="1:52" ht="37.5" customHeight="1">
      <c r="A14" s="38"/>
      <c r="B14" s="54" t="s">
        <v>23</v>
      </c>
      <c r="C14" s="40"/>
      <c r="D14" s="51">
        <f t="shared" si="4"/>
        <v>0</v>
      </c>
      <c r="E14" s="45"/>
      <c r="F14" s="52">
        <f>T14/M14</f>
        <v>0</v>
      </c>
      <c r="G14" s="45"/>
      <c r="H14" s="45"/>
      <c r="I14" s="45"/>
      <c r="J14" s="45"/>
      <c r="K14" s="14" t="e">
        <f t="shared" si="5"/>
        <v>#DIV/0!</v>
      </c>
      <c r="L14" s="13"/>
      <c r="M14" s="13">
        <v>1306.63</v>
      </c>
      <c r="N14" s="13"/>
      <c r="O14" s="13"/>
      <c r="P14" s="13"/>
      <c r="Q14" s="37"/>
      <c r="R14" s="15">
        <f t="shared" si="6"/>
        <v>0</v>
      </c>
      <c r="S14" s="13"/>
      <c r="T14" s="13"/>
      <c r="U14" s="13"/>
      <c r="V14" s="13"/>
      <c r="W14" s="13"/>
      <c r="X14" s="13"/>
      <c r="Y14" s="67">
        <f t="shared" si="7"/>
        <v>0</v>
      </c>
      <c r="Z14" s="97"/>
      <c r="AA14" s="97">
        <f>AO14/AH14</f>
        <v>0</v>
      </c>
      <c r="AB14" s="97"/>
      <c r="AC14" s="97"/>
      <c r="AD14" s="97"/>
      <c r="AE14" s="97"/>
      <c r="AF14" s="14">
        <f>AH14</f>
        <v>1306.63</v>
      </c>
      <c r="AG14" s="13"/>
      <c r="AH14" s="13">
        <v>1306.63</v>
      </c>
      <c r="AI14" s="13"/>
      <c r="AJ14" s="13"/>
      <c r="AK14" s="13"/>
      <c r="AL14" s="37"/>
      <c r="AM14" s="15">
        <f t="shared" si="8"/>
        <v>0</v>
      </c>
      <c r="AN14" s="13"/>
      <c r="AO14" s="13"/>
      <c r="AP14" s="13"/>
      <c r="AQ14" s="13"/>
      <c r="AR14" s="13"/>
      <c r="AS14" s="13"/>
      <c r="AT14" s="15">
        <f t="shared" si="9"/>
        <v>0</v>
      </c>
      <c r="AU14" s="37"/>
      <c r="AV14" s="37">
        <f>(M14-AH14)*F14</f>
        <v>0</v>
      </c>
      <c r="AW14" s="37"/>
      <c r="AX14" s="37"/>
      <c r="AY14" s="37"/>
      <c r="AZ14" s="13"/>
    </row>
    <row r="15" spans="1:52" ht="35.25" customHeight="1">
      <c r="A15" s="38"/>
      <c r="B15" s="39" t="s">
        <v>18</v>
      </c>
      <c r="C15" s="40"/>
      <c r="D15" s="75">
        <f t="shared" si="4"/>
        <v>1.0544913250116712</v>
      </c>
      <c r="E15" s="42"/>
      <c r="F15" s="42"/>
      <c r="G15" s="76">
        <f>U15/N15</f>
        <v>1.0544913250116712</v>
      </c>
      <c r="H15" s="42"/>
      <c r="I15" s="42"/>
      <c r="J15" s="42"/>
      <c r="K15" s="14">
        <f t="shared" si="5"/>
        <v>1306.6299999999999</v>
      </c>
      <c r="L15" s="13"/>
      <c r="M15" s="13"/>
      <c r="N15" s="13">
        <v>1306.63</v>
      </c>
      <c r="O15" s="13"/>
      <c r="P15" s="13"/>
      <c r="Q15" s="13"/>
      <c r="R15" s="14">
        <f t="shared" si="6"/>
        <v>1377.83</v>
      </c>
      <c r="S15" s="13"/>
      <c r="T15" s="13"/>
      <c r="U15" s="13">
        <v>1377.83</v>
      </c>
      <c r="V15" s="13"/>
      <c r="W15" s="13"/>
      <c r="X15" s="13"/>
      <c r="Y15" s="64">
        <f t="shared" si="7"/>
        <v>1.0544913250116712</v>
      </c>
      <c r="Z15" s="65"/>
      <c r="AA15" s="65"/>
      <c r="AB15" s="65">
        <f>AP15/AI15</f>
        <v>1.0544913250116712</v>
      </c>
      <c r="AC15" s="65"/>
      <c r="AD15" s="65"/>
      <c r="AE15" s="65"/>
      <c r="AF15" s="14">
        <f>AI15</f>
        <v>1306.63</v>
      </c>
      <c r="AG15" s="13"/>
      <c r="AH15" s="13"/>
      <c r="AI15" s="13">
        <v>1306.63</v>
      </c>
      <c r="AJ15" s="13"/>
      <c r="AK15" s="13"/>
      <c r="AL15" s="13"/>
      <c r="AM15" s="14">
        <f t="shared" si="8"/>
        <v>1377.83</v>
      </c>
      <c r="AN15" s="13"/>
      <c r="AO15" s="13"/>
      <c r="AP15" s="13">
        <v>1377.83</v>
      </c>
      <c r="AQ15" s="13"/>
      <c r="AR15" s="13"/>
      <c r="AS15" s="13"/>
      <c r="AT15" s="14">
        <f t="shared" si="9"/>
        <v>0</v>
      </c>
      <c r="AU15" s="37"/>
      <c r="AV15" s="37"/>
      <c r="AW15" s="37">
        <f>(N15-AI15)*G15</f>
        <v>0</v>
      </c>
      <c r="AX15" s="37"/>
      <c r="AY15" s="37"/>
      <c r="AZ15" s="13"/>
    </row>
    <row r="16" spans="1:52" ht="56.25" customHeight="1">
      <c r="A16" s="9"/>
      <c r="B16" s="43" t="s">
        <v>41</v>
      </c>
      <c r="C16" s="32"/>
      <c r="D16" s="44">
        <f t="shared" si="4"/>
        <v>0</v>
      </c>
      <c r="E16" s="45"/>
      <c r="F16" s="46">
        <f>T16/M16</f>
        <v>0</v>
      </c>
      <c r="G16" s="45"/>
      <c r="H16" s="45"/>
      <c r="I16" s="45"/>
      <c r="J16" s="45"/>
      <c r="K16" s="14" t="e">
        <f t="shared" si="5"/>
        <v>#DIV/0!</v>
      </c>
      <c r="L16" s="13"/>
      <c r="M16" s="13">
        <v>1306.63</v>
      </c>
      <c r="N16" s="13"/>
      <c r="O16" s="13"/>
      <c r="P16" s="13"/>
      <c r="Q16" s="37"/>
      <c r="R16" s="15">
        <f t="shared" si="6"/>
        <v>0</v>
      </c>
      <c r="S16" s="36"/>
      <c r="T16" s="36"/>
      <c r="U16" s="36"/>
      <c r="V16" s="36"/>
      <c r="W16" s="36"/>
      <c r="X16" s="36"/>
      <c r="Y16" s="67">
        <f t="shared" si="7"/>
        <v>0</v>
      </c>
      <c r="Z16" s="97"/>
      <c r="AA16" s="97">
        <f>AO16/AH16</f>
        <v>0</v>
      </c>
      <c r="AB16" s="97"/>
      <c r="AC16" s="97"/>
      <c r="AD16" s="97"/>
      <c r="AE16" s="97"/>
      <c r="AF16" s="14">
        <f>AH16</f>
        <v>1306.63</v>
      </c>
      <c r="AG16" s="13"/>
      <c r="AH16" s="13">
        <v>1306.63</v>
      </c>
      <c r="AI16" s="13"/>
      <c r="AJ16" s="13"/>
      <c r="AK16" s="13"/>
      <c r="AL16" s="37"/>
      <c r="AM16" s="15">
        <f t="shared" si="8"/>
        <v>0</v>
      </c>
      <c r="AN16" s="36"/>
      <c r="AO16" s="36"/>
      <c r="AP16" s="36"/>
      <c r="AQ16" s="36"/>
      <c r="AR16" s="36"/>
      <c r="AS16" s="13"/>
      <c r="AT16" s="15">
        <f t="shared" si="9"/>
        <v>0</v>
      </c>
      <c r="AU16" s="37"/>
      <c r="AV16" s="37">
        <f>(M16-AH16)*F16</f>
        <v>0</v>
      </c>
      <c r="AW16" s="37"/>
      <c r="AX16" s="37"/>
      <c r="AY16" s="37"/>
      <c r="AZ16" s="13"/>
    </row>
    <row r="17" spans="1:52" ht="58.5" customHeight="1">
      <c r="A17" s="38">
        <v>36</v>
      </c>
      <c r="B17" s="39" t="s">
        <v>37</v>
      </c>
      <c r="C17" s="106"/>
      <c r="D17" s="75">
        <f>SUM(E17:J17)</f>
        <v>0</v>
      </c>
      <c r="E17" s="42"/>
      <c r="F17" s="42"/>
      <c r="G17" s="76"/>
      <c r="H17" s="42"/>
      <c r="I17" s="107"/>
      <c r="J17" s="76">
        <f>X17/Q17</f>
        <v>0</v>
      </c>
      <c r="K17" s="14" t="e">
        <f t="shared" si="5"/>
        <v>#DIV/0!</v>
      </c>
      <c r="L17" s="13"/>
      <c r="M17" s="13"/>
      <c r="N17" s="13"/>
      <c r="O17" s="13"/>
      <c r="P17" s="109"/>
      <c r="Q17" s="109">
        <v>1200</v>
      </c>
      <c r="R17" s="14">
        <f>SUM(S17:X17)</f>
        <v>0</v>
      </c>
      <c r="S17" s="13"/>
      <c r="T17" s="13"/>
      <c r="U17" s="13"/>
      <c r="V17" s="13"/>
      <c r="W17" s="13"/>
      <c r="X17" s="13"/>
      <c r="Y17" s="64">
        <f>AE17</f>
        <v>0</v>
      </c>
      <c r="Z17" s="65"/>
      <c r="AA17" s="65"/>
      <c r="AB17" s="65"/>
      <c r="AC17" s="65"/>
      <c r="AD17" s="65"/>
      <c r="AE17" s="65">
        <f>AS17/AL17</f>
        <v>0</v>
      </c>
      <c r="AF17" s="14">
        <f>AL17</f>
        <v>1200</v>
      </c>
      <c r="AG17" s="13"/>
      <c r="AH17" s="13"/>
      <c r="AI17" s="13"/>
      <c r="AJ17" s="13"/>
      <c r="AK17" s="109"/>
      <c r="AL17" s="109">
        <v>1200</v>
      </c>
      <c r="AM17" s="14">
        <f>AS17</f>
        <v>0</v>
      </c>
      <c r="AN17" s="13"/>
      <c r="AO17" s="13"/>
      <c r="AP17" s="13"/>
      <c r="AQ17" s="13"/>
      <c r="AR17" s="13"/>
      <c r="AS17" s="13"/>
      <c r="AT17" s="14">
        <f>SUM(AU17:AZ17)</f>
        <v>0</v>
      </c>
      <c r="AU17" s="13"/>
      <c r="AV17" s="13"/>
      <c r="AW17" s="13"/>
      <c r="AX17" s="13"/>
      <c r="AY17" s="13"/>
      <c r="AZ17" s="37">
        <f>(Q17-AL17)*J17</f>
        <v>0</v>
      </c>
    </row>
    <row r="18" spans="1:52" ht="88.5" customHeight="1" thickBot="1">
      <c r="A18" s="30"/>
      <c r="B18" s="31" t="s">
        <v>38</v>
      </c>
      <c r="D18" s="75">
        <f>SUM(E18:J18)</f>
        <v>0</v>
      </c>
      <c r="E18" s="56"/>
      <c r="F18" s="56"/>
      <c r="G18" s="102"/>
      <c r="H18" s="56"/>
      <c r="I18" s="103"/>
      <c r="J18" s="76">
        <f>X18/Q18</f>
        <v>0</v>
      </c>
      <c r="K18" s="14" t="e">
        <f t="shared" si="5"/>
        <v>#DIV/0!</v>
      </c>
      <c r="L18" s="36"/>
      <c r="M18" s="36"/>
      <c r="N18" s="36"/>
      <c r="O18" s="36"/>
      <c r="P18" s="105"/>
      <c r="Q18" s="105">
        <v>1163.85</v>
      </c>
      <c r="R18" s="14">
        <f>SUM(S18:X18)</f>
        <v>0</v>
      </c>
      <c r="S18" s="36"/>
      <c r="T18" s="36"/>
      <c r="U18" s="36"/>
      <c r="V18" s="36"/>
      <c r="W18" s="36"/>
      <c r="X18" s="36"/>
      <c r="Y18" s="62">
        <f>AE18</f>
        <v>0</v>
      </c>
      <c r="Z18" s="34"/>
      <c r="AA18" s="34"/>
      <c r="AB18" s="34"/>
      <c r="AC18" s="34"/>
      <c r="AD18" s="34"/>
      <c r="AE18" s="65">
        <f>AS18/AL18</f>
        <v>0</v>
      </c>
      <c r="AF18" s="35">
        <f>AL18</f>
        <v>1163.85</v>
      </c>
      <c r="AG18" s="36"/>
      <c r="AH18" s="36"/>
      <c r="AI18" s="36"/>
      <c r="AJ18" s="36"/>
      <c r="AK18" s="105"/>
      <c r="AL18" s="105">
        <v>1163.85</v>
      </c>
      <c r="AM18" s="35">
        <f>AS18</f>
        <v>0</v>
      </c>
      <c r="AN18" s="36"/>
      <c r="AO18" s="36"/>
      <c r="AP18" s="36"/>
      <c r="AQ18" s="36"/>
      <c r="AR18" s="36"/>
      <c r="AS18" s="36"/>
      <c r="AT18" s="57">
        <f>SUM(AU18:AZ18)</f>
        <v>0</v>
      </c>
      <c r="AU18" s="50"/>
      <c r="AV18" s="50"/>
      <c r="AW18" s="50"/>
      <c r="AX18" s="50"/>
      <c r="AY18" s="50"/>
      <c r="AZ18" s="37">
        <f>(Q18-AL18)*J18</f>
        <v>0</v>
      </c>
    </row>
    <row r="19" spans="1:65" s="29" customFormat="1" ht="43.5" customHeight="1" thickBot="1">
      <c r="A19" s="23">
        <v>2</v>
      </c>
      <c r="B19" s="24" t="s">
        <v>0</v>
      </c>
      <c r="C19" s="58" t="s">
        <v>5</v>
      </c>
      <c r="D19" s="26">
        <f aca="true" t="shared" si="10" ref="D19:J19">SUM(D20:D26)</f>
        <v>16431.8184</v>
      </c>
      <c r="E19" s="59">
        <f t="shared" si="10"/>
        <v>600.9389</v>
      </c>
      <c r="F19" s="59">
        <f t="shared" si="10"/>
        <v>8107.043</v>
      </c>
      <c r="G19" s="59">
        <f t="shared" si="10"/>
        <v>3886.6857</v>
      </c>
      <c r="H19" s="59">
        <f t="shared" si="10"/>
        <v>0</v>
      </c>
      <c r="I19" s="59">
        <f t="shared" si="10"/>
        <v>3709.9957999999997</v>
      </c>
      <c r="J19" s="59">
        <f t="shared" si="10"/>
        <v>127.155</v>
      </c>
      <c r="K19" s="27">
        <f t="shared" si="5"/>
        <v>98.56463968710852</v>
      </c>
      <c r="L19" s="61">
        <f>L22</f>
        <v>91.02</v>
      </c>
      <c r="M19" s="27">
        <f>T19/F19</f>
        <v>102.207735915549</v>
      </c>
      <c r="N19" s="27">
        <f>U19/G19</f>
        <v>95.02670617281969</v>
      </c>
      <c r="O19" s="27">
        <f>O22</f>
        <v>90.44</v>
      </c>
      <c r="P19" s="27">
        <f>W19/I19</f>
        <v>95.73547765202323</v>
      </c>
      <c r="Q19" s="27">
        <f>Q26</f>
        <v>92.65</v>
      </c>
      <c r="R19" s="27">
        <f aca="true" t="shared" si="11" ref="R19:AE19">SUM(R20:R26)</f>
        <v>1619596.26</v>
      </c>
      <c r="S19" s="27">
        <f t="shared" si="11"/>
        <v>54694.87</v>
      </c>
      <c r="T19" s="27">
        <f t="shared" si="11"/>
        <v>828602.51</v>
      </c>
      <c r="U19" s="27">
        <f t="shared" si="11"/>
        <v>369338.94</v>
      </c>
      <c r="V19" s="27">
        <f t="shared" si="11"/>
        <v>0</v>
      </c>
      <c r="W19" s="27">
        <f t="shared" si="11"/>
        <v>355178.22000000003</v>
      </c>
      <c r="X19" s="27">
        <f t="shared" si="11"/>
        <v>11781.72</v>
      </c>
      <c r="Y19" s="59">
        <f t="shared" si="11"/>
        <v>16198.280560979278</v>
      </c>
      <c r="Z19" s="59">
        <f t="shared" si="11"/>
        <v>600.9308867157455</v>
      </c>
      <c r="AA19" s="59">
        <f t="shared" si="11"/>
        <v>8107.103776383892</v>
      </c>
      <c r="AB19" s="59">
        <f t="shared" si="11"/>
        <v>3700.4848323262854</v>
      </c>
      <c r="AC19" s="59">
        <f t="shared" si="11"/>
        <v>-0.0013268465280849183</v>
      </c>
      <c r="AD19" s="59">
        <f t="shared" si="11"/>
        <v>3662.6076330646765</v>
      </c>
      <c r="AE19" s="59">
        <f t="shared" si="11"/>
        <v>127.15475933520398</v>
      </c>
      <c r="AF19" s="28">
        <f>AM19/Y19</f>
        <v>98.2143878796862</v>
      </c>
      <c r="AG19" s="101">
        <f>AG22</f>
        <v>91.01</v>
      </c>
      <c r="AH19" s="101">
        <f>AO19/AA19</f>
        <v>102.20468651378029</v>
      </c>
      <c r="AI19" s="101">
        <f>AP19/AB19</f>
        <v>95.06449990739533</v>
      </c>
      <c r="AJ19" s="101">
        <f>AJ22</f>
        <v>90.44</v>
      </c>
      <c r="AK19" s="27">
        <f>AR19/AD19</f>
        <v>93.93927618506777</v>
      </c>
      <c r="AL19" s="27">
        <f>AL26</f>
        <v>92.66</v>
      </c>
      <c r="AM19" s="27">
        <f aca="true" t="shared" si="12" ref="AM19:AZ19">SUM(AM20:AM26)</f>
        <v>1590904.2099999997</v>
      </c>
      <c r="AN19" s="27">
        <f t="shared" si="12"/>
        <v>54690.72</v>
      </c>
      <c r="AO19" s="27">
        <f t="shared" si="12"/>
        <v>828584</v>
      </c>
      <c r="AP19" s="27">
        <f t="shared" si="12"/>
        <v>351784.74</v>
      </c>
      <c r="AQ19" s="27">
        <f t="shared" si="12"/>
        <v>-0.12</v>
      </c>
      <c r="AR19" s="27">
        <f t="shared" si="12"/>
        <v>344062.71</v>
      </c>
      <c r="AS19" s="27">
        <f t="shared" si="12"/>
        <v>11782.16</v>
      </c>
      <c r="AT19" s="118">
        <f t="shared" si="12"/>
        <v>6656.337831000008</v>
      </c>
      <c r="AU19" s="27">
        <f t="shared" si="12"/>
        <v>6.009388999994535</v>
      </c>
      <c r="AV19" s="27">
        <f t="shared" si="12"/>
        <v>0</v>
      </c>
      <c r="AW19" s="27">
        <f t="shared" si="12"/>
        <v>2.941700000001505</v>
      </c>
      <c r="AX19" s="27">
        <f t="shared" si="12"/>
        <v>0</v>
      </c>
      <c r="AY19" s="27">
        <f t="shared" si="12"/>
        <v>6648.658292000011</v>
      </c>
      <c r="AZ19" s="27">
        <f t="shared" si="12"/>
        <v>-1.2715499999988435</v>
      </c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</row>
    <row r="20" spans="1:52" s="4" customFormat="1" ht="41.25" customHeight="1">
      <c r="A20" s="70"/>
      <c r="B20" s="47" t="s">
        <v>24</v>
      </c>
      <c r="C20" s="47"/>
      <c r="D20" s="64">
        <f aca="true" t="shared" si="13" ref="D20:D25">SUM(E20:I20)</f>
        <v>294.17</v>
      </c>
      <c r="E20" s="69"/>
      <c r="F20" s="69"/>
      <c r="G20" s="69">
        <v>294.17</v>
      </c>
      <c r="H20" s="69"/>
      <c r="I20" s="69"/>
      <c r="J20" s="34"/>
      <c r="K20" s="14">
        <f t="shared" si="5"/>
        <v>104.3801543325288</v>
      </c>
      <c r="L20" s="50"/>
      <c r="M20" s="73"/>
      <c r="N20" s="142">
        <v>104.39</v>
      </c>
      <c r="O20" s="50"/>
      <c r="P20" s="50"/>
      <c r="Q20" s="50"/>
      <c r="R20" s="63">
        <f aca="true" t="shared" si="14" ref="R20:R25">SUM(S20:W20)</f>
        <v>30705.51</v>
      </c>
      <c r="S20" s="50"/>
      <c r="T20" s="50"/>
      <c r="U20" s="50">
        <v>30705.51</v>
      </c>
      <c r="V20" s="73"/>
      <c r="W20" s="73"/>
      <c r="X20" s="73"/>
      <c r="Y20" s="100">
        <f aca="true" t="shared" si="15" ref="Y20:Y25">SUM(Z20:AD20)</f>
        <v>294.1738838858019</v>
      </c>
      <c r="Z20" s="98"/>
      <c r="AA20" s="98"/>
      <c r="AB20" s="98">
        <f>AP20/AI20</f>
        <v>294.1738838858019</v>
      </c>
      <c r="AC20" s="98"/>
      <c r="AD20" s="98"/>
      <c r="AE20" s="98"/>
      <c r="AF20" s="63">
        <f>AI20</f>
        <v>104.38</v>
      </c>
      <c r="AG20" s="73"/>
      <c r="AH20" s="73"/>
      <c r="AI20" s="73">
        <v>104.38</v>
      </c>
      <c r="AJ20" s="73"/>
      <c r="AK20" s="73"/>
      <c r="AL20" s="73"/>
      <c r="AM20" s="63">
        <f aca="true" t="shared" si="16" ref="AM20:AM25">SUM(AN20:AR20)</f>
        <v>30705.87</v>
      </c>
      <c r="AN20" s="73"/>
      <c r="AO20" s="73"/>
      <c r="AP20" s="73">
        <v>30705.87</v>
      </c>
      <c r="AQ20" s="73"/>
      <c r="AR20" s="73"/>
      <c r="AS20" s="73"/>
      <c r="AT20" s="63">
        <f aca="true" t="shared" si="17" ref="AT20:AT25">SUM(AU20:AY20)</f>
        <v>2.941700000001505</v>
      </c>
      <c r="AU20" s="73"/>
      <c r="AV20" s="73"/>
      <c r="AW20" s="37">
        <f>(N20-AI20)*G20</f>
        <v>2.941700000001505</v>
      </c>
      <c r="AX20" s="73"/>
      <c r="AY20" s="73"/>
      <c r="AZ20" s="73"/>
    </row>
    <row r="21" spans="1:52" s="4" customFormat="1" ht="58.5" customHeight="1">
      <c r="A21" s="66"/>
      <c r="B21" s="55" t="s">
        <v>43</v>
      </c>
      <c r="C21" s="47"/>
      <c r="D21" s="62">
        <f t="shared" si="13"/>
        <v>127.659</v>
      </c>
      <c r="E21" s="68"/>
      <c r="F21" s="69">
        <v>127.659</v>
      </c>
      <c r="G21" s="69"/>
      <c r="H21" s="69"/>
      <c r="I21" s="69"/>
      <c r="J21" s="69"/>
      <c r="K21" s="57">
        <f t="shared" si="5"/>
        <v>83.75461189575353</v>
      </c>
      <c r="L21" s="50"/>
      <c r="M21" s="36">
        <v>83.75</v>
      </c>
      <c r="N21" s="50"/>
      <c r="O21" s="50"/>
      <c r="P21" s="50"/>
      <c r="Q21" s="50"/>
      <c r="R21" s="35">
        <f t="shared" si="14"/>
        <v>10692.03</v>
      </c>
      <c r="S21" s="50"/>
      <c r="T21" s="50">
        <v>10692.03</v>
      </c>
      <c r="U21" s="50"/>
      <c r="V21" s="36"/>
      <c r="W21" s="36"/>
      <c r="X21" s="36"/>
      <c r="Y21" s="62">
        <f t="shared" si="15"/>
        <v>127.65862686567164</v>
      </c>
      <c r="Z21" s="34"/>
      <c r="AA21" s="34">
        <f>AO21/AH21</f>
        <v>127.65862686567164</v>
      </c>
      <c r="AB21" s="34"/>
      <c r="AC21" s="34"/>
      <c r="AD21" s="34"/>
      <c r="AE21" s="34"/>
      <c r="AF21" s="14">
        <f>AH21</f>
        <v>83.75</v>
      </c>
      <c r="AG21" s="36"/>
      <c r="AH21" s="36">
        <v>83.75</v>
      </c>
      <c r="AI21" s="36"/>
      <c r="AJ21" s="36"/>
      <c r="AK21" s="36"/>
      <c r="AL21" s="36"/>
      <c r="AM21" s="35">
        <f t="shared" si="16"/>
        <v>10691.41</v>
      </c>
      <c r="AN21" s="36"/>
      <c r="AO21" s="36">
        <v>10691.41</v>
      </c>
      <c r="AP21" s="36"/>
      <c r="AQ21" s="36"/>
      <c r="AR21" s="36"/>
      <c r="AS21" s="36"/>
      <c r="AT21" s="35">
        <f t="shared" si="17"/>
        <v>0</v>
      </c>
      <c r="AU21" s="13"/>
      <c r="AV21" s="13">
        <f>(M21-AH21)*F21</f>
        <v>0</v>
      </c>
      <c r="AW21" s="13"/>
      <c r="AX21" s="13"/>
      <c r="AY21" s="13"/>
      <c r="AZ21" s="36"/>
    </row>
    <row r="22" spans="1:52" ht="40.5" customHeight="1">
      <c r="A22" s="9"/>
      <c r="B22" s="39" t="s">
        <v>35</v>
      </c>
      <c r="C22" s="40"/>
      <c r="D22" s="64">
        <f t="shared" si="13"/>
        <v>7619.7104</v>
      </c>
      <c r="E22" s="65">
        <v>600.9389</v>
      </c>
      <c r="F22" s="65">
        <f>T22/M22</f>
        <v>0</v>
      </c>
      <c r="G22" s="65">
        <v>3592.5157</v>
      </c>
      <c r="H22" s="65">
        <f>V22/O22</f>
        <v>0</v>
      </c>
      <c r="I22" s="65">
        <v>3426.2558</v>
      </c>
      <c r="J22" s="65"/>
      <c r="K22" s="14">
        <f t="shared" si="5"/>
        <v>94.87707433080398</v>
      </c>
      <c r="L22" s="148">
        <v>91.02</v>
      </c>
      <c r="M22" s="13">
        <v>94.26</v>
      </c>
      <c r="N22" s="13">
        <f>M22</f>
        <v>94.26</v>
      </c>
      <c r="O22" s="13">
        <v>90.44</v>
      </c>
      <c r="P22" s="149">
        <f>W22/I22</f>
        <v>96.20050260111928</v>
      </c>
      <c r="Q22" s="13"/>
      <c r="R22" s="14">
        <f t="shared" si="14"/>
        <v>722935.8300000001</v>
      </c>
      <c r="S22" s="13">
        <v>54694.87</v>
      </c>
      <c r="T22" s="13"/>
      <c r="U22" s="13">
        <v>338633.43</v>
      </c>
      <c r="V22" s="13"/>
      <c r="W22" s="13">
        <v>329607.53</v>
      </c>
      <c r="X22" s="13"/>
      <c r="Y22" s="64">
        <f t="shared" si="15"/>
        <v>7386.1076842061575</v>
      </c>
      <c r="Z22" s="65">
        <f>AN22/AG22</f>
        <v>600.9308867157455</v>
      </c>
      <c r="AA22" s="65">
        <f>AO22/AH22</f>
        <v>0</v>
      </c>
      <c r="AB22" s="65">
        <f>AP22/AI22</f>
        <v>3406.3109484404836</v>
      </c>
      <c r="AC22" s="65">
        <f>AQ22/AJ22</f>
        <v>-0.0013268465280849183</v>
      </c>
      <c r="AD22" s="65">
        <f>AR22/AK22</f>
        <v>3378.8671758964565</v>
      </c>
      <c r="AE22" s="65"/>
      <c r="AF22" s="14">
        <f>AM22/Y22</f>
        <v>93.99558193343856</v>
      </c>
      <c r="AG22" s="13">
        <v>91.01</v>
      </c>
      <c r="AH22" s="13">
        <v>94.26</v>
      </c>
      <c r="AI22" s="13">
        <f>AH22</f>
        <v>94.26</v>
      </c>
      <c r="AJ22" s="13">
        <v>90.44</v>
      </c>
      <c r="AK22" s="13">
        <f>AH22</f>
        <v>94.26</v>
      </c>
      <c r="AL22" s="13"/>
      <c r="AM22" s="14">
        <f t="shared" si="16"/>
        <v>694261.49</v>
      </c>
      <c r="AN22" s="13">
        <f>54690.72</f>
        <v>54690.72</v>
      </c>
      <c r="AO22" s="13"/>
      <c r="AP22" s="13">
        <f>18.13+321060.74</f>
        <v>321078.87</v>
      </c>
      <c r="AQ22" s="13">
        <f>-0.12</f>
        <v>-0.12</v>
      </c>
      <c r="AR22" s="13">
        <f>317949.84-188.52+730.7</f>
        <v>318492.02</v>
      </c>
      <c r="AS22" s="13"/>
      <c r="AT22" s="14">
        <f t="shared" si="17"/>
        <v>6654.667681000005</v>
      </c>
      <c r="AU22" s="37">
        <f>(L22-AG22)*E22</f>
        <v>6.009388999994535</v>
      </c>
      <c r="AV22" s="37">
        <f>(M22-AH22)*F22</f>
        <v>0</v>
      </c>
      <c r="AW22" s="37">
        <f>(N22-AI22)*G22</f>
        <v>0</v>
      </c>
      <c r="AX22" s="37">
        <f>(O22-AJ22)*H22</f>
        <v>0</v>
      </c>
      <c r="AY22" s="37">
        <f>(P22-AK22)*I22</f>
        <v>6648.658292000011</v>
      </c>
      <c r="AZ22" s="13"/>
    </row>
    <row r="23" spans="1:52" s="4" customFormat="1" ht="42" customHeight="1">
      <c r="A23" s="66"/>
      <c r="B23" s="39" t="s">
        <v>23</v>
      </c>
      <c r="C23" s="39"/>
      <c r="D23" s="64">
        <f t="shared" si="13"/>
        <v>529.484</v>
      </c>
      <c r="E23" s="65"/>
      <c r="F23" s="65">
        <v>529.484</v>
      </c>
      <c r="G23" s="65"/>
      <c r="H23" s="65"/>
      <c r="I23" s="65"/>
      <c r="J23" s="65"/>
      <c r="K23" s="14">
        <f aca="true" t="shared" si="18" ref="K23:K46">R23/D23</f>
        <v>90.67737646463348</v>
      </c>
      <c r="L23" s="13"/>
      <c r="M23" s="13">
        <v>90.68</v>
      </c>
      <c r="N23" s="13"/>
      <c r="O23" s="13"/>
      <c r="P23" s="13"/>
      <c r="Q23" s="13"/>
      <c r="R23" s="14">
        <f t="shared" si="14"/>
        <v>48012.22</v>
      </c>
      <c r="S23" s="13"/>
      <c r="T23" s="13">
        <v>48012.22</v>
      </c>
      <c r="U23" s="13"/>
      <c r="V23" s="13"/>
      <c r="W23" s="13"/>
      <c r="X23" s="13"/>
      <c r="Y23" s="64">
        <f t="shared" si="15"/>
        <v>529.4843405381561</v>
      </c>
      <c r="Z23" s="65"/>
      <c r="AA23" s="65">
        <f>AO23/AH23</f>
        <v>529.4843405381561</v>
      </c>
      <c r="AB23" s="65"/>
      <c r="AC23" s="65"/>
      <c r="AD23" s="65"/>
      <c r="AE23" s="65"/>
      <c r="AF23" s="15">
        <f>AH23</f>
        <v>90.68</v>
      </c>
      <c r="AG23" s="13"/>
      <c r="AH23" s="13">
        <v>90.68</v>
      </c>
      <c r="AI23" s="13"/>
      <c r="AJ23" s="13"/>
      <c r="AK23" s="13"/>
      <c r="AL23" s="13"/>
      <c r="AM23" s="14">
        <f t="shared" si="16"/>
        <v>48013.64</v>
      </c>
      <c r="AN23" s="13"/>
      <c r="AO23" s="13">
        <v>48013.64</v>
      </c>
      <c r="AP23" s="13"/>
      <c r="AQ23" s="13"/>
      <c r="AR23" s="13"/>
      <c r="AS23" s="13"/>
      <c r="AT23" s="14">
        <f t="shared" si="17"/>
        <v>0</v>
      </c>
      <c r="AU23" s="13"/>
      <c r="AV23" s="37">
        <f>(M23-AH23)*F23</f>
        <v>0</v>
      </c>
      <c r="AW23" s="13"/>
      <c r="AX23" s="13"/>
      <c r="AY23" s="13"/>
      <c r="AZ23" s="13"/>
    </row>
    <row r="24" spans="1:52" s="4" customFormat="1" ht="57" customHeight="1">
      <c r="A24" s="66"/>
      <c r="B24" s="43" t="s">
        <v>41</v>
      </c>
      <c r="C24" s="43"/>
      <c r="D24" s="67">
        <f t="shared" si="13"/>
        <v>7449.9</v>
      </c>
      <c r="E24" s="34"/>
      <c r="F24" s="97">
        <v>7449.9</v>
      </c>
      <c r="G24" s="34"/>
      <c r="H24" s="34"/>
      <c r="I24" s="97"/>
      <c r="J24" s="97"/>
      <c r="K24" s="15">
        <f t="shared" si="18"/>
        <v>103.34343548235547</v>
      </c>
      <c r="L24" s="37"/>
      <c r="M24" s="139">
        <v>103.34</v>
      </c>
      <c r="N24" s="37"/>
      <c r="O24" s="37"/>
      <c r="P24" s="37"/>
      <c r="Q24" s="37"/>
      <c r="R24" s="15">
        <f t="shared" si="14"/>
        <v>769898.26</v>
      </c>
      <c r="S24" s="37"/>
      <c r="T24" s="37">
        <v>769898.26</v>
      </c>
      <c r="U24" s="37"/>
      <c r="V24" s="37"/>
      <c r="W24" s="37"/>
      <c r="X24" s="37"/>
      <c r="Y24" s="67">
        <f t="shared" si="15"/>
        <v>7449.960808980065</v>
      </c>
      <c r="Z24" s="97"/>
      <c r="AA24" s="97">
        <f>AO24/AH24</f>
        <v>7449.960808980065</v>
      </c>
      <c r="AB24" s="97"/>
      <c r="AC24" s="97"/>
      <c r="AD24" s="97"/>
      <c r="AE24" s="97"/>
      <c r="AF24" s="15">
        <f>AH24</f>
        <v>103.34</v>
      </c>
      <c r="AG24" s="37"/>
      <c r="AH24" s="37">
        <v>103.34</v>
      </c>
      <c r="AI24" s="37"/>
      <c r="AJ24" s="37"/>
      <c r="AK24" s="37"/>
      <c r="AL24" s="37"/>
      <c r="AM24" s="15">
        <f t="shared" si="16"/>
        <v>769878.95</v>
      </c>
      <c r="AN24" s="37"/>
      <c r="AO24" s="36">
        <v>769878.95</v>
      </c>
      <c r="AP24" s="37"/>
      <c r="AQ24" s="37"/>
      <c r="AR24" s="37"/>
      <c r="AS24" s="37"/>
      <c r="AT24" s="15">
        <f t="shared" si="17"/>
        <v>0</v>
      </c>
      <c r="AU24" s="37"/>
      <c r="AV24" s="37">
        <f>(M24-AH24)*F24</f>
        <v>0</v>
      </c>
      <c r="AW24" s="37"/>
      <c r="AX24" s="37"/>
      <c r="AY24" s="37"/>
      <c r="AZ24" s="37"/>
    </row>
    <row r="25" spans="1:52" ht="65.25" customHeight="1">
      <c r="A25" s="9"/>
      <c r="B25" s="39" t="s">
        <v>42</v>
      </c>
      <c r="C25" s="40"/>
      <c r="D25" s="64">
        <f t="shared" si="13"/>
        <v>283.74</v>
      </c>
      <c r="E25" s="65"/>
      <c r="F25" s="65"/>
      <c r="G25" s="65"/>
      <c r="H25" s="65"/>
      <c r="I25" s="65">
        <v>283.74</v>
      </c>
      <c r="J25" s="65"/>
      <c r="K25" s="14">
        <f t="shared" si="18"/>
        <v>90.12014520335518</v>
      </c>
      <c r="L25" s="13"/>
      <c r="M25" s="13"/>
      <c r="N25" s="13"/>
      <c r="O25" s="13"/>
      <c r="P25" s="13">
        <v>90.12</v>
      </c>
      <c r="Q25" s="13"/>
      <c r="R25" s="14">
        <f t="shared" si="14"/>
        <v>25570.69</v>
      </c>
      <c r="S25" s="13"/>
      <c r="T25" s="13"/>
      <c r="U25" s="13"/>
      <c r="V25" s="13"/>
      <c r="W25" s="13">
        <v>25570.69</v>
      </c>
      <c r="X25" s="13"/>
      <c r="Y25" s="64">
        <f t="shared" si="15"/>
        <v>283.74045716822013</v>
      </c>
      <c r="Z25" s="65"/>
      <c r="AA25" s="65"/>
      <c r="AB25" s="65"/>
      <c r="AC25" s="65"/>
      <c r="AD25" s="65">
        <f>AR25/AK25</f>
        <v>283.74045716822013</v>
      </c>
      <c r="AE25" s="65"/>
      <c r="AF25" s="14">
        <f>AK25</f>
        <v>90.12</v>
      </c>
      <c r="AG25" s="13"/>
      <c r="AH25" s="13"/>
      <c r="AI25" s="13"/>
      <c r="AJ25" s="13"/>
      <c r="AK25" s="37">
        <v>90.12</v>
      </c>
      <c r="AL25" s="13"/>
      <c r="AM25" s="14">
        <f t="shared" si="16"/>
        <v>25570.69</v>
      </c>
      <c r="AN25" s="13"/>
      <c r="AO25" s="13"/>
      <c r="AP25" s="13"/>
      <c r="AQ25" s="13"/>
      <c r="AR25" s="13">
        <v>25570.69</v>
      </c>
      <c r="AS25" s="13"/>
      <c r="AT25" s="14">
        <f t="shared" si="17"/>
        <v>0</v>
      </c>
      <c r="AU25" s="37"/>
      <c r="AV25" s="37"/>
      <c r="AW25" s="37"/>
      <c r="AX25" s="37"/>
      <c r="AY25" s="37">
        <f>(P25-AK25)*I25</f>
        <v>0</v>
      </c>
      <c r="AZ25" s="13"/>
    </row>
    <row r="26" spans="1:52" ht="58.5" customHeight="1" thickBot="1">
      <c r="A26" s="38">
        <v>36</v>
      </c>
      <c r="B26" s="39" t="s">
        <v>37</v>
      </c>
      <c r="C26" s="106"/>
      <c r="D26" s="62">
        <f>SUM(E26:J26)</f>
        <v>127.155</v>
      </c>
      <c r="E26" s="42"/>
      <c r="F26" s="42"/>
      <c r="G26" s="76"/>
      <c r="H26" s="42"/>
      <c r="I26" s="107"/>
      <c r="J26" s="69">
        <v>127.155</v>
      </c>
      <c r="K26" s="35">
        <f t="shared" si="18"/>
        <v>92.65636427981596</v>
      </c>
      <c r="L26" s="108"/>
      <c r="M26" s="13"/>
      <c r="N26" s="13"/>
      <c r="O26" s="13"/>
      <c r="P26" s="13"/>
      <c r="Q26" s="130">
        <v>92.65</v>
      </c>
      <c r="R26" s="57">
        <f>SUM(S26:X26)</f>
        <v>11781.72</v>
      </c>
      <c r="S26" s="13"/>
      <c r="T26" s="13"/>
      <c r="U26" s="13"/>
      <c r="V26" s="13"/>
      <c r="W26" s="13"/>
      <c r="X26" s="13">
        <v>11781.72</v>
      </c>
      <c r="Y26" s="64">
        <f>AE26</f>
        <v>127.15475933520398</v>
      </c>
      <c r="Z26" s="65"/>
      <c r="AA26" s="65"/>
      <c r="AB26" s="65"/>
      <c r="AC26" s="65"/>
      <c r="AD26" s="65"/>
      <c r="AE26" s="65">
        <f>AS26/AL26</f>
        <v>127.15475933520398</v>
      </c>
      <c r="AF26" s="14">
        <f>AL26</f>
        <v>92.66</v>
      </c>
      <c r="AG26" s="13"/>
      <c r="AH26" s="13"/>
      <c r="AI26" s="13"/>
      <c r="AJ26" s="13"/>
      <c r="AK26" s="109"/>
      <c r="AL26" s="109">
        <v>92.66</v>
      </c>
      <c r="AM26" s="14">
        <f>AS26</f>
        <v>11782.16</v>
      </c>
      <c r="AN26" s="13"/>
      <c r="AO26" s="13"/>
      <c r="AP26" s="13"/>
      <c r="AQ26" s="13"/>
      <c r="AR26" s="13"/>
      <c r="AS26" s="13">
        <v>11782.16</v>
      </c>
      <c r="AT26" s="57">
        <f>SUM(AU26:AZ26)</f>
        <v>-1.2715499999988435</v>
      </c>
      <c r="AU26" s="36"/>
      <c r="AV26" s="36"/>
      <c r="AW26" s="36"/>
      <c r="AX26" s="36"/>
      <c r="AY26" s="36"/>
      <c r="AZ26" s="37">
        <f>(Q26-AL26)*J26</f>
        <v>-1.2715499999988435</v>
      </c>
    </row>
    <row r="27" spans="1:65" s="29" customFormat="1" ht="43.5" customHeight="1" thickBot="1">
      <c r="A27" s="23">
        <v>3</v>
      </c>
      <c r="B27" s="24" t="s">
        <v>1</v>
      </c>
      <c r="C27" s="24" t="s">
        <v>5</v>
      </c>
      <c r="D27" s="71">
        <f aca="true" t="shared" si="19" ref="D27:J27">SUM(D28:D36)</f>
        <v>74262.37800000001</v>
      </c>
      <c r="E27" s="71">
        <f t="shared" si="19"/>
        <v>8860.26</v>
      </c>
      <c r="F27" s="71">
        <f t="shared" si="19"/>
        <v>30626.2</v>
      </c>
      <c r="G27" s="71">
        <f t="shared" si="19"/>
        <v>15505.31</v>
      </c>
      <c r="H27" s="71">
        <f>SUM(H28:H36)</f>
        <v>10079.28</v>
      </c>
      <c r="I27" s="71">
        <f t="shared" si="19"/>
        <v>8228.348</v>
      </c>
      <c r="J27" s="71">
        <f t="shared" si="19"/>
        <v>962.98</v>
      </c>
      <c r="K27" s="28">
        <f t="shared" si="18"/>
        <v>21.032352209351547</v>
      </c>
      <c r="L27" s="28">
        <f>S27/E27</f>
        <v>20.6757792660712</v>
      </c>
      <c r="M27" s="28">
        <f>T27/F27</f>
        <v>21.606960706845772</v>
      </c>
      <c r="N27" s="28">
        <f>U27/G27</f>
        <v>21.041163317598937</v>
      </c>
      <c r="O27" s="28">
        <f>O32</f>
        <v>20.91</v>
      </c>
      <c r="P27" s="28">
        <f>W27/I27</f>
        <v>19.59143925366307</v>
      </c>
      <c r="Q27" s="28">
        <f>Q33</f>
        <v>19.49</v>
      </c>
      <c r="R27" s="28">
        <f aca="true" t="shared" si="20" ref="R27:AE27">SUM(R28:R36)</f>
        <v>1561912.49</v>
      </c>
      <c r="S27" s="28">
        <f t="shared" si="20"/>
        <v>183192.78</v>
      </c>
      <c r="T27" s="28">
        <f t="shared" si="20"/>
        <v>661739.1</v>
      </c>
      <c r="U27" s="28">
        <f t="shared" si="20"/>
        <v>326249.75999999995</v>
      </c>
      <c r="V27" s="28">
        <f t="shared" si="20"/>
        <v>210753.72</v>
      </c>
      <c r="W27" s="28">
        <f t="shared" si="20"/>
        <v>161205.18</v>
      </c>
      <c r="X27" s="28">
        <f t="shared" si="20"/>
        <v>18771.95</v>
      </c>
      <c r="Y27" s="60">
        <f t="shared" si="20"/>
        <v>74437.33911621479</v>
      </c>
      <c r="Z27" s="60">
        <f t="shared" si="20"/>
        <v>8809.268753250264</v>
      </c>
      <c r="AA27" s="60">
        <f t="shared" si="20"/>
        <v>30892.132827737703</v>
      </c>
      <c r="AB27" s="60">
        <f t="shared" si="20"/>
        <v>15477.98563719981</v>
      </c>
      <c r="AC27" s="60">
        <f t="shared" si="20"/>
        <v>10096.391678622667</v>
      </c>
      <c r="AD27" s="60">
        <f t="shared" si="20"/>
        <v>8198.58433433507</v>
      </c>
      <c r="AE27" s="60">
        <f t="shared" si="20"/>
        <v>962.9758850692665</v>
      </c>
      <c r="AF27" s="28">
        <f>AM27/Y27</f>
        <v>21.876996670415227</v>
      </c>
      <c r="AG27" s="101">
        <f>AN27/Z27</f>
        <v>20.67224591516858</v>
      </c>
      <c r="AH27" s="101">
        <f>AO27/AA27</f>
        <v>23.640389741697277</v>
      </c>
      <c r="AI27" s="101">
        <f>AP27/AB27</f>
        <v>21.034691957428457</v>
      </c>
      <c r="AJ27" s="101">
        <f>AJ32</f>
        <v>20.91</v>
      </c>
      <c r="AK27" s="27">
        <f>AR27/AD27</f>
        <v>19.58842812989432</v>
      </c>
      <c r="AL27" s="101">
        <f>AL33</f>
        <v>19.49</v>
      </c>
      <c r="AM27" s="101">
        <f aca="true" t="shared" si="21" ref="AM27:AZ27">SUM(AM28:AM36)</f>
        <v>1628465.4200000002</v>
      </c>
      <c r="AN27" s="119">
        <f t="shared" si="21"/>
        <v>182107.37</v>
      </c>
      <c r="AO27" s="119">
        <f t="shared" si="21"/>
        <v>730302.06</v>
      </c>
      <c r="AP27" s="119">
        <f t="shared" si="21"/>
        <v>325574.66000000003</v>
      </c>
      <c r="AQ27" s="119">
        <f t="shared" si="21"/>
        <v>211115.55</v>
      </c>
      <c r="AR27" s="119">
        <f t="shared" si="21"/>
        <v>160597.38</v>
      </c>
      <c r="AS27" s="119">
        <f t="shared" si="21"/>
        <v>18768.4</v>
      </c>
      <c r="AT27" s="118">
        <f t="shared" si="21"/>
        <v>-61979.46859999999</v>
      </c>
      <c r="AU27" s="28">
        <f t="shared" si="21"/>
        <v>0</v>
      </c>
      <c r="AV27" s="28">
        <f t="shared" si="21"/>
        <v>-61979.46859999999</v>
      </c>
      <c r="AW27" s="28">
        <f t="shared" si="21"/>
        <v>0</v>
      </c>
      <c r="AX27" s="28">
        <f t="shared" si="21"/>
        <v>0</v>
      </c>
      <c r="AY27" s="28">
        <f t="shared" si="21"/>
        <v>0</v>
      </c>
      <c r="AZ27" s="28">
        <f t="shared" si="21"/>
        <v>0</v>
      </c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</row>
    <row r="28" spans="1:52" ht="51" customHeight="1">
      <c r="A28" s="74"/>
      <c r="B28" s="47" t="s">
        <v>20</v>
      </c>
      <c r="C28" s="32"/>
      <c r="D28" s="75">
        <f aca="true" t="shared" si="22" ref="D28:D36">SUM(E28:J28)</f>
        <v>131.9</v>
      </c>
      <c r="E28" s="76">
        <v>131.9</v>
      </c>
      <c r="F28" s="76"/>
      <c r="G28" s="76"/>
      <c r="H28" s="76"/>
      <c r="I28" s="76"/>
      <c r="J28" s="76"/>
      <c r="K28" s="14">
        <f t="shared" si="18"/>
        <v>20.82001516300227</v>
      </c>
      <c r="L28" s="37">
        <v>20.82</v>
      </c>
      <c r="M28" s="36"/>
      <c r="N28" s="36"/>
      <c r="O28" s="37"/>
      <c r="P28" s="37"/>
      <c r="Q28" s="37"/>
      <c r="R28" s="14">
        <f aca="true" t="shared" si="23" ref="R28:R36">SUM(S28:X28)</f>
        <v>2746.16</v>
      </c>
      <c r="S28" s="36">
        <v>2746.16</v>
      </c>
      <c r="T28" s="36"/>
      <c r="U28" s="36"/>
      <c r="V28" s="13"/>
      <c r="W28" s="13"/>
      <c r="X28" s="13"/>
      <c r="Y28" s="64">
        <f>SUM(Z28:AD28)</f>
        <v>131.89913544668588</v>
      </c>
      <c r="Z28" s="65">
        <f>AN28/AG28</f>
        <v>131.89913544668588</v>
      </c>
      <c r="AA28" s="65"/>
      <c r="AB28" s="65"/>
      <c r="AC28" s="65"/>
      <c r="AD28" s="65"/>
      <c r="AE28" s="65"/>
      <c r="AF28" s="14">
        <f>AG28</f>
        <v>20.82</v>
      </c>
      <c r="AG28" s="13">
        <v>20.82</v>
      </c>
      <c r="AH28" s="13"/>
      <c r="AI28" s="13"/>
      <c r="AJ28" s="13"/>
      <c r="AK28" s="13"/>
      <c r="AL28" s="13"/>
      <c r="AM28" s="14">
        <f>SUM(AN28:AR28)</f>
        <v>2746.14</v>
      </c>
      <c r="AN28" s="36">
        <v>2746.14</v>
      </c>
      <c r="AO28" s="36"/>
      <c r="AP28" s="36"/>
      <c r="AQ28" s="13"/>
      <c r="AR28" s="13"/>
      <c r="AS28" s="13"/>
      <c r="AT28" s="14">
        <f>SUM(AU28:AY28)</f>
        <v>0</v>
      </c>
      <c r="AU28" s="37">
        <f>(L28-AG28)*E28</f>
        <v>0</v>
      </c>
      <c r="AV28" s="37"/>
      <c r="AW28" s="37"/>
      <c r="AX28" s="37"/>
      <c r="AY28" s="37"/>
      <c r="AZ28" s="13"/>
    </row>
    <row r="29" spans="1:52" ht="54" customHeight="1">
      <c r="A29" s="74"/>
      <c r="B29" s="47" t="s">
        <v>21</v>
      </c>
      <c r="C29" s="48"/>
      <c r="D29" s="75">
        <f t="shared" si="22"/>
        <v>415</v>
      </c>
      <c r="E29" s="76"/>
      <c r="F29" s="76"/>
      <c r="G29" s="76">
        <v>415</v>
      </c>
      <c r="H29" s="76"/>
      <c r="I29" s="76"/>
      <c r="J29" s="76"/>
      <c r="K29" s="14">
        <f t="shared" si="18"/>
        <v>23.5</v>
      </c>
      <c r="L29" s="37"/>
      <c r="M29" s="13"/>
      <c r="N29" s="50">
        <v>23.5</v>
      </c>
      <c r="O29" s="37"/>
      <c r="P29" s="37"/>
      <c r="Q29" s="37"/>
      <c r="R29" s="14">
        <f t="shared" si="23"/>
        <v>9752.5</v>
      </c>
      <c r="S29" s="50"/>
      <c r="T29" s="50"/>
      <c r="U29" s="50">
        <v>9752.5</v>
      </c>
      <c r="V29" s="36"/>
      <c r="W29" s="36"/>
      <c r="X29" s="13"/>
      <c r="Y29" s="67">
        <f>SUM(Z29:AD29)</f>
        <v>414.7740425531915</v>
      </c>
      <c r="Z29" s="97"/>
      <c r="AA29" s="97"/>
      <c r="AB29" s="97">
        <f>AP29/AI29</f>
        <v>414.7740425531915</v>
      </c>
      <c r="AC29" s="97"/>
      <c r="AD29" s="97"/>
      <c r="AE29" s="97"/>
      <c r="AF29" s="14">
        <f>AI29</f>
        <v>23.5</v>
      </c>
      <c r="AG29" s="13"/>
      <c r="AH29" s="13"/>
      <c r="AI29" s="13">
        <v>23.5</v>
      </c>
      <c r="AJ29" s="13"/>
      <c r="AK29" s="13"/>
      <c r="AL29" s="37"/>
      <c r="AM29" s="15">
        <f>SUM(AN29:AR29)</f>
        <v>9747.19</v>
      </c>
      <c r="AN29" s="50"/>
      <c r="AO29" s="50"/>
      <c r="AP29" s="50">
        <v>9747.19</v>
      </c>
      <c r="AQ29" s="36"/>
      <c r="AR29" s="36"/>
      <c r="AS29" s="13"/>
      <c r="AT29" s="14">
        <f>SUM(AU29:AY29)</f>
        <v>0</v>
      </c>
      <c r="AU29" s="37"/>
      <c r="AV29" s="37"/>
      <c r="AW29" s="37">
        <f>(N29-AI29)*G29</f>
        <v>0</v>
      </c>
      <c r="AX29" s="37"/>
      <c r="AY29" s="37"/>
      <c r="AZ29" s="13"/>
    </row>
    <row r="30" spans="1:52" ht="59.25" customHeight="1">
      <c r="A30" s="38"/>
      <c r="B30" s="54" t="s">
        <v>39</v>
      </c>
      <c r="C30" s="40"/>
      <c r="D30" s="75">
        <f t="shared" si="22"/>
        <v>8028.429</v>
      </c>
      <c r="E30" s="76"/>
      <c r="F30" s="150">
        <v>8028.429</v>
      </c>
      <c r="G30" s="76"/>
      <c r="H30" s="76"/>
      <c r="I30" s="76"/>
      <c r="J30" s="76"/>
      <c r="K30" s="14">
        <f t="shared" si="18"/>
        <v>15.680000408548173</v>
      </c>
      <c r="L30" s="13"/>
      <c r="M30" s="144">
        <f>T30/F30</f>
        <v>15.680000408548173</v>
      </c>
      <c r="N30" s="13"/>
      <c r="O30" s="37"/>
      <c r="P30" s="37"/>
      <c r="Q30" s="37"/>
      <c r="R30" s="14">
        <f t="shared" si="23"/>
        <v>125885.77</v>
      </c>
      <c r="S30" s="13"/>
      <c r="T30" s="13">
        <v>125885.77</v>
      </c>
      <c r="U30" s="13"/>
      <c r="V30" s="13"/>
      <c r="W30" s="13"/>
      <c r="X30" s="37"/>
      <c r="Y30" s="67">
        <f>SUM(Z30:AD30)</f>
        <v>8028.429487179487</v>
      </c>
      <c r="Z30" s="97"/>
      <c r="AA30" s="97">
        <f>AO30/AH30</f>
        <v>8028.429487179487</v>
      </c>
      <c r="AB30" s="97"/>
      <c r="AC30" s="97"/>
      <c r="AD30" s="97"/>
      <c r="AE30" s="97"/>
      <c r="AF30" s="14">
        <f>AH30</f>
        <v>23.4</v>
      </c>
      <c r="AG30" s="37"/>
      <c r="AH30" s="37">
        <v>23.4</v>
      </c>
      <c r="AI30" s="37"/>
      <c r="AJ30" s="37"/>
      <c r="AK30" s="37"/>
      <c r="AL30" s="37"/>
      <c r="AM30" s="15">
        <f>SUM(AN30:AR30)</f>
        <v>187865.25</v>
      </c>
      <c r="AN30" s="13"/>
      <c r="AO30" s="13">
        <f>187531.82+333.43</f>
        <v>187865.25</v>
      </c>
      <c r="AP30" s="13"/>
      <c r="AQ30" s="13"/>
      <c r="AR30" s="13"/>
      <c r="AS30" s="37"/>
      <c r="AT30" s="15">
        <f>SUM(AU30:AY30)</f>
        <v>-61979.46859999999</v>
      </c>
      <c r="AU30" s="37"/>
      <c r="AV30" s="37">
        <f>(M30-AH30)*F30</f>
        <v>-61979.46859999999</v>
      </c>
      <c r="AW30" s="37"/>
      <c r="AX30" s="37"/>
      <c r="AY30" s="37"/>
      <c r="AZ30" s="13"/>
    </row>
    <row r="31" spans="1:52" ht="35.25" customHeight="1">
      <c r="A31" s="38"/>
      <c r="B31" s="39" t="s">
        <v>22</v>
      </c>
      <c r="C31" s="40"/>
      <c r="D31" s="75">
        <f t="shared" si="22"/>
        <v>119.9</v>
      </c>
      <c r="E31" s="76"/>
      <c r="F31" s="76"/>
      <c r="G31" s="77">
        <v>119.9</v>
      </c>
      <c r="H31" s="76"/>
      <c r="I31" s="76"/>
      <c r="J31" s="76"/>
      <c r="K31" s="14">
        <f t="shared" si="18"/>
        <v>28.95721434528774</v>
      </c>
      <c r="L31" s="13"/>
      <c r="M31" s="122"/>
      <c r="N31" s="13">
        <v>28.96</v>
      </c>
      <c r="O31" s="13"/>
      <c r="P31" s="13"/>
      <c r="Q31" s="13"/>
      <c r="R31" s="14">
        <f t="shared" si="23"/>
        <v>3471.97</v>
      </c>
      <c r="S31" s="13"/>
      <c r="T31" s="13"/>
      <c r="U31" s="13">
        <v>3471.97</v>
      </c>
      <c r="V31" s="13"/>
      <c r="W31" s="13"/>
      <c r="X31" s="13"/>
      <c r="Y31" s="64">
        <f>SUM(Z31:AD31)</f>
        <v>106.30006906077347</v>
      </c>
      <c r="Z31" s="65"/>
      <c r="AA31" s="65"/>
      <c r="AB31" s="65">
        <f>AP31/AI31</f>
        <v>106.30006906077347</v>
      </c>
      <c r="AC31" s="65"/>
      <c r="AD31" s="65"/>
      <c r="AE31" s="65"/>
      <c r="AF31" s="14">
        <f>AI31</f>
        <v>28.96</v>
      </c>
      <c r="AG31" s="13"/>
      <c r="AH31" s="13"/>
      <c r="AI31" s="13">
        <v>28.96</v>
      </c>
      <c r="AJ31" s="13"/>
      <c r="AK31" s="13"/>
      <c r="AL31" s="13"/>
      <c r="AM31" s="14">
        <f>SUM(AN31:AR31)</f>
        <v>3078.45</v>
      </c>
      <c r="AN31" s="13"/>
      <c r="AO31" s="13"/>
      <c r="AP31" s="13">
        <v>3078.45</v>
      </c>
      <c r="AQ31" s="13"/>
      <c r="AR31" s="13"/>
      <c r="AS31" s="13"/>
      <c r="AT31" s="15">
        <f>SUM(AU31:AY31)</f>
        <v>0</v>
      </c>
      <c r="AU31" s="37"/>
      <c r="AV31" s="37"/>
      <c r="AW31" s="37">
        <f>(N31-AI31)*G31</f>
        <v>0</v>
      </c>
      <c r="AX31" s="37"/>
      <c r="AY31" s="37"/>
      <c r="AZ31" s="13"/>
    </row>
    <row r="32" spans="1:52" ht="42" customHeight="1">
      <c r="A32" s="9"/>
      <c r="B32" s="43" t="s">
        <v>25</v>
      </c>
      <c r="C32" s="32"/>
      <c r="D32" s="75">
        <f t="shared" si="22"/>
        <v>43273.19</v>
      </c>
      <c r="E32" s="34">
        <v>4027.36</v>
      </c>
      <c r="F32" s="34">
        <v>6502.21</v>
      </c>
      <c r="G32" s="34">
        <v>14970.41</v>
      </c>
      <c r="H32" s="34">
        <v>10079.28</v>
      </c>
      <c r="I32" s="34">
        <v>7693.93</v>
      </c>
      <c r="J32" s="96"/>
      <c r="K32" s="120">
        <f t="shared" si="18"/>
        <v>20.635872696235243</v>
      </c>
      <c r="L32" s="36">
        <v>20.67</v>
      </c>
      <c r="M32" s="36">
        <v>20.91</v>
      </c>
      <c r="N32" s="36">
        <v>20.91</v>
      </c>
      <c r="O32" s="36">
        <v>20.91</v>
      </c>
      <c r="P32" s="36">
        <v>19.49</v>
      </c>
      <c r="Q32" s="36"/>
      <c r="R32" s="14">
        <f t="shared" si="23"/>
        <v>892980.0399999999</v>
      </c>
      <c r="S32" s="36">
        <v>83260.03</v>
      </c>
      <c r="T32" s="36">
        <v>135958.6</v>
      </c>
      <c r="U32" s="36">
        <v>313025.29</v>
      </c>
      <c r="V32" s="36">
        <v>210753.72</v>
      </c>
      <c r="W32" s="36">
        <v>149982.4</v>
      </c>
      <c r="X32" s="36"/>
      <c r="Y32" s="67">
        <f>SUM(Z32:AD32)</f>
        <v>43236.16879965959</v>
      </c>
      <c r="Z32" s="97">
        <f>AN32/AG32</f>
        <v>4015.514755684567</v>
      </c>
      <c r="AA32" s="146">
        <f>AO32/AH32</f>
        <v>6503.184600669536</v>
      </c>
      <c r="AB32" s="97">
        <f>AP32/AI32</f>
        <v>14956.911525585845</v>
      </c>
      <c r="AC32" s="97">
        <f>AQ32/AJ32</f>
        <v>10096.391678622667</v>
      </c>
      <c r="AD32" s="97">
        <f>AR32/AK32</f>
        <v>7664.166239096974</v>
      </c>
      <c r="AE32" s="97"/>
      <c r="AF32" s="121">
        <f>AM32/Y32</f>
        <v>20.635997008297018</v>
      </c>
      <c r="AG32" s="37">
        <v>20.67</v>
      </c>
      <c r="AH32" s="37">
        <v>20.91</v>
      </c>
      <c r="AI32" s="37">
        <f>AH32</f>
        <v>20.91</v>
      </c>
      <c r="AJ32" s="37">
        <f>AH32</f>
        <v>20.91</v>
      </c>
      <c r="AK32" s="37">
        <v>19.49</v>
      </c>
      <c r="AL32" s="37"/>
      <c r="AM32" s="15">
        <f>SUM(AN32:AS32)</f>
        <v>892221.4500000001</v>
      </c>
      <c r="AN32" s="36">
        <f>82990.34+10.35</f>
        <v>83000.69</v>
      </c>
      <c r="AO32" s="36">
        <f>73998.91+37073.82+24780.71+128.15</f>
        <v>135981.59</v>
      </c>
      <c r="AP32" s="13">
        <f>119525.68+193166.44+56.9</f>
        <v>312749.02</v>
      </c>
      <c r="AQ32" s="13">
        <f>142010.43+48287.96+20807.71+3.98+5.47</f>
        <v>211115.55</v>
      </c>
      <c r="AR32" s="13">
        <f>148967.39+407.21</f>
        <v>149374.6</v>
      </c>
      <c r="AS32" s="37"/>
      <c r="AT32" s="15">
        <f>SUM(AU32:AY32)</f>
        <v>0</v>
      </c>
      <c r="AU32" s="37">
        <f>(L32-AG32)*E32</f>
        <v>0</v>
      </c>
      <c r="AV32" s="37">
        <f>(M32-AH32)*F32</f>
        <v>0</v>
      </c>
      <c r="AW32" s="37">
        <f>(N32-AI32)*G32</f>
        <v>0</v>
      </c>
      <c r="AX32" s="37">
        <f>(O32-AJ32)*H32</f>
        <v>0</v>
      </c>
      <c r="AY32" s="37">
        <f>(P32-AK32)*I32</f>
        <v>0</v>
      </c>
      <c r="AZ32" s="37"/>
    </row>
    <row r="33" spans="1:52" ht="84" customHeight="1">
      <c r="A33" s="74"/>
      <c r="B33" s="31" t="s">
        <v>27</v>
      </c>
      <c r="C33" s="40"/>
      <c r="D33" s="75">
        <f t="shared" si="22"/>
        <v>21016.01</v>
      </c>
      <c r="E33" s="65">
        <v>4701</v>
      </c>
      <c r="F33" s="65">
        <v>15352.03</v>
      </c>
      <c r="G33" s="76"/>
      <c r="H33" s="76"/>
      <c r="I33" s="76"/>
      <c r="J33" s="65">
        <v>962.98</v>
      </c>
      <c r="K33" s="14">
        <f t="shared" si="18"/>
        <v>23.783000674247873</v>
      </c>
      <c r="L33" s="13">
        <v>20.67</v>
      </c>
      <c r="M33" s="13">
        <v>25</v>
      </c>
      <c r="N33" s="13"/>
      <c r="O33" s="13"/>
      <c r="P33" s="13"/>
      <c r="Q33" s="13">
        <v>19.49</v>
      </c>
      <c r="R33" s="14">
        <f t="shared" si="23"/>
        <v>499823.77999999997</v>
      </c>
      <c r="S33" s="13">
        <v>97186.59</v>
      </c>
      <c r="T33" s="13">
        <v>383865.24</v>
      </c>
      <c r="U33" s="13"/>
      <c r="V33" s="13"/>
      <c r="W33" s="13"/>
      <c r="X33" s="13">
        <v>18771.95</v>
      </c>
      <c r="Y33" s="64">
        <f>SUM(Z33:AE33)</f>
        <v>21241.81794718828</v>
      </c>
      <c r="Z33" s="65">
        <f>AN33/AG33</f>
        <v>4661.854862119012</v>
      </c>
      <c r="AA33" s="65">
        <f>AO33/AH33</f>
        <v>15616.987200000001</v>
      </c>
      <c r="AB33" s="65"/>
      <c r="AC33" s="65"/>
      <c r="AD33" s="65"/>
      <c r="AE33" s="65">
        <f>AS33/AL33</f>
        <v>962.9758850692665</v>
      </c>
      <c r="AF33" s="14">
        <f>AM33/Y33</f>
        <v>23.799922457527643</v>
      </c>
      <c r="AG33" s="13">
        <v>20.67</v>
      </c>
      <c r="AH33" s="13">
        <v>25</v>
      </c>
      <c r="AI33" s="13"/>
      <c r="AJ33" s="13"/>
      <c r="AK33" s="13"/>
      <c r="AL33" s="37">
        <v>19.49</v>
      </c>
      <c r="AM33" s="15">
        <f>SUM(AN33:AS33)</f>
        <v>505553.62000000005</v>
      </c>
      <c r="AN33" s="13">
        <f>96234.56+125.98</f>
        <v>96360.54</v>
      </c>
      <c r="AO33" s="13">
        <f>306553.05+82467.47+1117.01+287.15</f>
        <v>390424.68000000005</v>
      </c>
      <c r="AP33" s="13"/>
      <c r="AQ33" s="13"/>
      <c r="AR33" s="13"/>
      <c r="AS33" s="37">
        <f>18768.4</f>
        <v>18768.4</v>
      </c>
      <c r="AT33" s="14">
        <f>SUM(AU33:AZ33)</f>
        <v>0</v>
      </c>
      <c r="AU33" s="37">
        <f>(L33-AG33)*E33</f>
        <v>0</v>
      </c>
      <c r="AV33" s="37">
        <f>(M33-AH33)*F33</f>
        <v>0</v>
      </c>
      <c r="AW33" s="37"/>
      <c r="AX33" s="37"/>
      <c r="AY33" s="37"/>
      <c r="AZ33" s="37">
        <f>(Q33-AL33)*J33</f>
        <v>0</v>
      </c>
    </row>
    <row r="34" spans="1:52" ht="39.75" customHeight="1">
      <c r="A34" s="38"/>
      <c r="B34" s="39" t="s">
        <v>23</v>
      </c>
      <c r="C34" s="40"/>
      <c r="D34" s="75">
        <f t="shared" si="22"/>
        <v>743.531</v>
      </c>
      <c r="E34" s="76"/>
      <c r="F34" s="65">
        <v>743.531</v>
      </c>
      <c r="G34" s="76"/>
      <c r="H34" s="76"/>
      <c r="I34" s="76"/>
      <c r="J34" s="76"/>
      <c r="K34" s="14">
        <f t="shared" si="18"/>
        <v>21.558603474502075</v>
      </c>
      <c r="L34" s="13"/>
      <c r="M34" s="13">
        <v>21.56</v>
      </c>
      <c r="N34" s="13"/>
      <c r="O34" s="37"/>
      <c r="P34" s="37"/>
      <c r="Q34" s="37"/>
      <c r="R34" s="14">
        <f t="shared" si="23"/>
        <v>16029.49</v>
      </c>
      <c r="S34" s="13"/>
      <c r="T34" s="13">
        <v>16029.49</v>
      </c>
      <c r="U34" s="13"/>
      <c r="V34" s="13"/>
      <c r="W34" s="13"/>
      <c r="X34" s="13"/>
      <c r="Y34" s="67">
        <f>SUM(Z34:AD34)</f>
        <v>743.5315398886828</v>
      </c>
      <c r="Z34" s="97"/>
      <c r="AA34" s="97">
        <f>AO34/AH34</f>
        <v>743.5315398886828</v>
      </c>
      <c r="AB34" s="97"/>
      <c r="AC34" s="97"/>
      <c r="AD34" s="97"/>
      <c r="AE34" s="97"/>
      <c r="AF34" s="14">
        <f>AH34</f>
        <v>21.56</v>
      </c>
      <c r="AG34" s="37"/>
      <c r="AH34" s="37">
        <v>21.56</v>
      </c>
      <c r="AI34" s="37"/>
      <c r="AJ34" s="37"/>
      <c r="AK34" s="37"/>
      <c r="AL34" s="37"/>
      <c r="AM34" s="15">
        <f>SUM(AN34:AR34)</f>
        <v>16030.54</v>
      </c>
      <c r="AN34" s="13"/>
      <c r="AO34" s="13">
        <f>15737.25+293.29</f>
        <v>16030.54</v>
      </c>
      <c r="AP34" s="13"/>
      <c r="AQ34" s="13"/>
      <c r="AR34" s="13"/>
      <c r="AS34" s="37"/>
      <c r="AT34" s="14">
        <f>SUM(AU34:AZ34)</f>
        <v>0</v>
      </c>
      <c r="AU34" s="37"/>
      <c r="AV34" s="37">
        <f>(M34-AH34)*F34</f>
        <v>0</v>
      </c>
      <c r="AW34" s="37"/>
      <c r="AX34" s="37"/>
      <c r="AY34" s="37"/>
      <c r="AZ34" s="13"/>
    </row>
    <row r="35" spans="1:52" ht="39.75" customHeight="1">
      <c r="A35" s="38"/>
      <c r="B35" s="39" t="s">
        <v>44</v>
      </c>
      <c r="C35" s="40"/>
      <c r="D35" s="75">
        <f t="shared" si="22"/>
        <v>0</v>
      </c>
      <c r="E35" s="76"/>
      <c r="F35" s="76"/>
      <c r="G35" s="76"/>
      <c r="H35" s="76"/>
      <c r="I35" s="76"/>
      <c r="J35" s="76"/>
      <c r="K35" s="14" t="e">
        <f t="shared" si="18"/>
        <v>#DIV/0!</v>
      </c>
      <c r="L35" s="13"/>
      <c r="M35" s="37"/>
      <c r="N35" s="13"/>
      <c r="O35" s="37"/>
      <c r="P35" s="37"/>
      <c r="Q35" s="37"/>
      <c r="R35" s="14">
        <f t="shared" si="23"/>
        <v>0</v>
      </c>
      <c r="S35" s="13"/>
      <c r="T35" s="13"/>
      <c r="U35" s="13"/>
      <c r="V35" s="13"/>
      <c r="W35" s="13"/>
      <c r="X35" s="37"/>
      <c r="Y35" s="67">
        <f>SUM(Z35:AD35)</f>
        <v>0</v>
      </c>
      <c r="Z35" s="97"/>
      <c r="AA35" s="97"/>
      <c r="AB35" s="97"/>
      <c r="AC35" s="97"/>
      <c r="AD35" s="97"/>
      <c r="AE35" s="97"/>
      <c r="AF35" s="14">
        <f>AJ35</f>
        <v>0</v>
      </c>
      <c r="AG35" s="37"/>
      <c r="AH35" s="37"/>
      <c r="AI35" s="37"/>
      <c r="AJ35" s="139"/>
      <c r="AK35" s="37"/>
      <c r="AL35" s="37"/>
      <c r="AM35" s="15">
        <f>SUM(AN35:AR35)</f>
        <v>0</v>
      </c>
      <c r="AN35" s="13"/>
      <c r="AO35" s="13"/>
      <c r="AP35" s="13"/>
      <c r="AQ35" s="13"/>
      <c r="AR35" s="13"/>
      <c r="AS35" s="37"/>
      <c r="AT35" s="14">
        <f>SUM(AU35:AZ35)</f>
        <v>0</v>
      </c>
      <c r="AU35" s="37"/>
      <c r="AV35" s="37"/>
      <c r="AW35" s="37"/>
      <c r="AX35" s="37"/>
      <c r="AY35" s="37"/>
      <c r="AZ35" s="13"/>
    </row>
    <row r="36" spans="1:52" ht="43.5" customHeight="1" thickBot="1">
      <c r="A36" s="78"/>
      <c r="B36" s="79" t="s">
        <v>26</v>
      </c>
      <c r="C36" s="80"/>
      <c r="D36" s="75">
        <f t="shared" si="22"/>
        <v>534.418</v>
      </c>
      <c r="E36" s="81"/>
      <c r="F36" s="81"/>
      <c r="G36" s="81"/>
      <c r="H36" s="81"/>
      <c r="I36" s="34">
        <v>534.418</v>
      </c>
      <c r="J36" s="96"/>
      <c r="K36" s="82">
        <f t="shared" si="18"/>
        <v>21.000003742388916</v>
      </c>
      <c r="L36" s="83"/>
      <c r="M36" s="83"/>
      <c r="N36" s="83"/>
      <c r="O36" s="83"/>
      <c r="P36" s="84">
        <v>21</v>
      </c>
      <c r="Q36" s="84"/>
      <c r="R36" s="14">
        <f t="shared" si="23"/>
        <v>11222.78</v>
      </c>
      <c r="S36" s="83"/>
      <c r="T36" s="83"/>
      <c r="U36" s="83"/>
      <c r="V36" s="83"/>
      <c r="W36" s="83">
        <v>11222.78</v>
      </c>
      <c r="X36" s="84"/>
      <c r="Y36" s="87">
        <f>SUM(Z36:AD36)</f>
        <v>534.4180952380952</v>
      </c>
      <c r="Z36" s="99"/>
      <c r="AA36" s="99"/>
      <c r="AB36" s="99"/>
      <c r="AC36" s="99"/>
      <c r="AD36" s="99">
        <f>AR36/AK36</f>
        <v>534.4180952380952</v>
      </c>
      <c r="AE36" s="99"/>
      <c r="AF36" s="85">
        <f>AK36</f>
        <v>21</v>
      </c>
      <c r="AG36" s="84"/>
      <c r="AH36" s="84"/>
      <c r="AI36" s="84"/>
      <c r="AJ36" s="84"/>
      <c r="AK36" s="84">
        <v>21</v>
      </c>
      <c r="AL36" s="84"/>
      <c r="AM36" s="86">
        <f>SUM(AN36:AR36)</f>
        <v>11222.78</v>
      </c>
      <c r="AN36" s="83"/>
      <c r="AO36" s="83"/>
      <c r="AP36" s="83"/>
      <c r="AQ36" s="83"/>
      <c r="AR36" s="83">
        <v>11222.78</v>
      </c>
      <c r="AS36" s="84"/>
      <c r="AT36" s="14">
        <f>SUM(AU36:AZ36)</f>
        <v>0</v>
      </c>
      <c r="AU36" s="36"/>
      <c r="AV36" s="36"/>
      <c r="AW36" s="36"/>
      <c r="AX36" s="36"/>
      <c r="AY36" s="37">
        <f>(P36-AK36)*I36</f>
        <v>0</v>
      </c>
      <c r="AZ36" s="50"/>
    </row>
    <row r="37" spans="1:65" s="29" customFormat="1" ht="36.75" customHeight="1" thickBot="1">
      <c r="A37" s="23">
        <v>4</v>
      </c>
      <c r="B37" s="24" t="s">
        <v>3</v>
      </c>
      <c r="C37" s="24" t="s">
        <v>5</v>
      </c>
      <c r="D37" s="59">
        <f aca="true" t="shared" si="24" ref="D37:J37">SUM(D38:D46)</f>
        <v>87439.58738568526</v>
      </c>
      <c r="E37" s="27">
        <f t="shared" si="24"/>
        <v>9134.1802259887</v>
      </c>
      <c r="F37" s="27">
        <f t="shared" si="24"/>
        <v>38054.789056603775</v>
      </c>
      <c r="G37" s="27">
        <f t="shared" si="24"/>
        <v>18461.730103092785</v>
      </c>
      <c r="H37" s="27">
        <f t="shared" si="24"/>
        <v>9985.93</v>
      </c>
      <c r="I37" s="27">
        <f t="shared" si="24"/>
        <v>11802.958</v>
      </c>
      <c r="J37" s="27">
        <f t="shared" si="24"/>
        <v>0</v>
      </c>
      <c r="K37" s="28">
        <f t="shared" si="18"/>
        <v>20.29745339684154</v>
      </c>
      <c r="L37" s="28">
        <f>S37/E37</f>
        <v>17.7</v>
      </c>
      <c r="M37" s="28">
        <f>T37/F37</f>
        <v>22.40823878255137</v>
      </c>
      <c r="N37" s="28">
        <f>U37/G37</f>
        <v>20.157624877077843</v>
      </c>
      <c r="O37" s="28">
        <f>V37/H37</f>
        <v>17.609016886759672</v>
      </c>
      <c r="P37" s="28">
        <f>W37/I37</f>
        <v>17.995329645331278</v>
      </c>
      <c r="Q37" s="28"/>
      <c r="R37" s="27">
        <f aca="true" t="shared" si="25" ref="R37:AE37">SUM(R38:R46)</f>
        <v>1774800.95</v>
      </c>
      <c r="S37" s="61">
        <f t="shared" si="25"/>
        <v>161674.99</v>
      </c>
      <c r="T37" s="61">
        <f t="shared" si="25"/>
        <v>852740.8</v>
      </c>
      <c r="U37" s="61">
        <f t="shared" si="25"/>
        <v>372144.63</v>
      </c>
      <c r="V37" s="61">
        <f t="shared" si="25"/>
        <v>175842.41</v>
      </c>
      <c r="W37" s="61">
        <f t="shared" si="25"/>
        <v>212398.12</v>
      </c>
      <c r="X37" s="61">
        <f t="shared" si="25"/>
        <v>0</v>
      </c>
      <c r="Y37" s="59">
        <f t="shared" si="25"/>
        <v>88099.04580734002</v>
      </c>
      <c r="Z37" s="59">
        <f t="shared" si="25"/>
        <v>9504.06327683616</v>
      </c>
      <c r="AA37" s="59">
        <f t="shared" si="25"/>
        <v>37886.793000000005</v>
      </c>
      <c r="AB37" s="59">
        <f t="shared" si="25"/>
        <v>18612.74946370926</v>
      </c>
      <c r="AC37" s="59">
        <f t="shared" si="25"/>
        <v>9867.348955683492</v>
      </c>
      <c r="AD37" s="59">
        <f t="shared" si="25"/>
        <v>12228.09111111111</v>
      </c>
      <c r="AE37" s="59">
        <f t="shared" si="25"/>
        <v>0</v>
      </c>
      <c r="AF37" s="86">
        <f>AM37/Y37</f>
        <v>20.28858137588456</v>
      </c>
      <c r="AG37" s="101">
        <f>AG40</f>
        <v>17.7</v>
      </c>
      <c r="AH37" s="101">
        <f>AO37/AA37</f>
        <v>22.418252714079014</v>
      </c>
      <c r="AI37" s="101">
        <f>AP37/AB37</f>
        <v>20.15423141709461</v>
      </c>
      <c r="AJ37" s="101">
        <f>AQ37/AC37</f>
        <v>17.696127985767056</v>
      </c>
      <c r="AK37" s="27">
        <f>AK40</f>
        <v>18</v>
      </c>
      <c r="AL37" s="27"/>
      <c r="AM37" s="27">
        <f aca="true" t="shared" si="26" ref="AM37:AZ37">SUM(AM38:AM46)</f>
        <v>1787404.6599999997</v>
      </c>
      <c r="AN37" s="27">
        <f t="shared" si="26"/>
        <v>168203.79</v>
      </c>
      <c r="AO37" s="27">
        <f t="shared" si="26"/>
        <v>849355.7</v>
      </c>
      <c r="AP37" s="27">
        <f t="shared" si="26"/>
        <v>375125.66000000003</v>
      </c>
      <c r="AQ37" s="27">
        <f t="shared" si="26"/>
        <v>174613.87</v>
      </c>
      <c r="AR37" s="27">
        <f t="shared" si="26"/>
        <v>220105.63999999998</v>
      </c>
      <c r="AS37" s="27">
        <f t="shared" si="26"/>
        <v>0</v>
      </c>
      <c r="AT37" s="118">
        <f t="shared" si="26"/>
        <v>-110.25200000001725</v>
      </c>
      <c r="AU37" s="27">
        <f t="shared" si="26"/>
        <v>0</v>
      </c>
      <c r="AV37" s="27">
        <f t="shared" si="26"/>
        <v>0</v>
      </c>
      <c r="AW37" s="27">
        <f t="shared" si="26"/>
        <v>0</v>
      </c>
      <c r="AX37" s="27">
        <f t="shared" si="26"/>
        <v>0</v>
      </c>
      <c r="AY37" s="27">
        <f t="shared" si="26"/>
        <v>-110.25200000001725</v>
      </c>
      <c r="AZ37" s="27">
        <f t="shared" si="26"/>
        <v>0</v>
      </c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</row>
    <row r="38" spans="1:52" s="4" customFormat="1" ht="56.25" customHeight="1">
      <c r="A38" s="123"/>
      <c r="B38" s="124" t="s">
        <v>39</v>
      </c>
      <c r="C38" s="72"/>
      <c r="D38" s="63">
        <f>SUM(E38:I38)</f>
        <v>14131.369056603775</v>
      </c>
      <c r="E38" s="37"/>
      <c r="F38" s="128">
        <f>T38/M38</f>
        <v>14131.369056603775</v>
      </c>
      <c r="G38" s="37"/>
      <c r="H38" s="37"/>
      <c r="I38" s="37"/>
      <c r="J38" s="37"/>
      <c r="K38" s="63">
        <f t="shared" si="18"/>
        <v>26.5</v>
      </c>
      <c r="L38" s="73"/>
      <c r="M38" s="145">
        <v>26.5</v>
      </c>
      <c r="N38" s="73"/>
      <c r="O38" s="73"/>
      <c r="P38" s="73"/>
      <c r="Q38" s="37"/>
      <c r="R38" s="15">
        <f>SUM(S38:W38)</f>
        <v>374481.28</v>
      </c>
      <c r="S38" s="13"/>
      <c r="T38" s="13">
        <v>374481.28</v>
      </c>
      <c r="U38" s="13"/>
      <c r="V38" s="13"/>
      <c r="W38" s="13"/>
      <c r="X38" s="13"/>
      <c r="Y38" s="67">
        <f>SUM(Z38:AD38)</f>
        <v>14131.369</v>
      </c>
      <c r="Z38" s="97"/>
      <c r="AA38" s="97">
        <f>ROUND(AO38/AH38,3)</f>
        <v>14131.369</v>
      </c>
      <c r="AB38" s="97"/>
      <c r="AC38" s="97"/>
      <c r="AD38" s="97"/>
      <c r="AE38" s="97"/>
      <c r="AF38" s="14">
        <f>AH38</f>
        <v>26.5</v>
      </c>
      <c r="AG38" s="37"/>
      <c r="AH38" s="37">
        <v>26.5</v>
      </c>
      <c r="AI38" s="13"/>
      <c r="AJ38" s="13"/>
      <c r="AK38" s="13"/>
      <c r="AL38" s="37"/>
      <c r="AM38" s="15">
        <f>SUM(AN38:AR38)</f>
        <v>374481.27999999997</v>
      </c>
      <c r="AN38" s="13"/>
      <c r="AO38" s="13">
        <f>17428.17+357053.11</f>
        <v>374481.27999999997</v>
      </c>
      <c r="AP38" s="13"/>
      <c r="AQ38" s="13"/>
      <c r="AR38" s="13"/>
      <c r="AS38" s="13"/>
      <c r="AT38" s="15">
        <f>SUM(AU38:AY38)</f>
        <v>0</v>
      </c>
      <c r="AU38" s="37"/>
      <c r="AV38" s="37">
        <f>(M38-AH38)*F38</f>
        <v>0</v>
      </c>
      <c r="AW38" s="37"/>
      <c r="AX38" s="37"/>
      <c r="AY38" s="37"/>
      <c r="AZ38" s="13"/>
    </row>
    <row r="39" spans="1:52" ht="45.75" customHeight="1">
      <c r="A39" s="38"/>
      <c r="B39" s="39" t="s">
        <v>24</v>
      </c>
      <c r="C39" s="40"/>
      <c r="D39" s="14">
        <f>SUM(E39:I39)</f>
        <v>709.1701030927834</v>
      </c>
      <c r="E39" s="13"/>
      <c r="F39" s="13"/>
      <c r="G39" s="13">
        <f>U39/N39</f>
        <v>709.1701030927834</v>
      </c>
      <c r="H39" s="13"/>
      <c r="I39" s="13"/>
      <c r="J39" s="13"/>
      <c r="K39" s="14">
        <f t="shared" si="18"/>
        <v>29.1</v>
      </c>
      <c r="L39" s="13"/>
      <c r="M39" s="13"/>
      <c r="N39" s="13">
        <v>29.1</v>
      </c>
      <c r="O39" s="13"/>
      <c r="P39" s="13"/>
      <c r="Q39" s="13"/>
      <c r="R39" s="14">
        <f>SUM(S39:W39)</f>
        <v>20636.85</v>
      </c>
      <c r="S39" s="13"/>
      <c r="T39" s="13"/>
      <c r="U39" s="13">
        <v>20636.85</v>
      </c>
      <c r="V39" s="13"/>
      <c r="W39" s="13"/>
      <c r="X39" s="13"/>
      <c r="Y39" s="64">
        <f>SUM(Z39:AD39)</f>
        <v>708.9484536082474</v>
      </c>
      <c r="Z39" s="65"/>
      <c r="AA39" s="65"/>
      <c r="AB39" s="65">
        <f>AP39/AI39</f>
        <v>708.9484536082474</v>
      </c>
      <c r="AC39" s="65"/>
      <c r="AD39" s="65"/>
      <c r="AE39" s="97"/>
      <c r="AF39" s="14">
        <f>AI39</f>
        <v>29.1</v>
      </c>
      <c r="AG39" s="127"/>
      <c r="AH39" s="13"/>
      <c r="AI39" s="127">
        <v>29.1</v>
      </c>
      <c r="AJ39" s="13"/>
      <c r="AK39" s="13"/>
      <c r="AL39" s="13"/>
      <c r="AM39" s="14">
        <f>SUM(AN39:AR39)</f>
        <v>20612.27</v>
      </c>
      <c r="AN39" s="13">
        <v>-18.13</v>
      </c>
      <c r="AO39" s="13"/>
      <c r="AP39" s="13">
        <f>8560.47+12069.93</f>
        <v>20630.4</v>
      </c>
      <c r="AQ39" s="13"/>
      <c r="AR39" s="13"/>
      <c r="AS39" s="13"/>
      <c r="AT39" s="15">
        <f>SUM(AU39:AY39)</f>
        <v>0</v>
      </c>
      <c r="AU39" s="37"/>
      <c r="AV39" s="37"/>
      <c r="AW39" s="37">
        <f>(N39-AI39)*G39</f>
        <v>0</v>
      </c>
      <c r="AX39" s="37"/>
      <c r="AY39" s="37"/>
      <c r="AZ39" s="13"/>
    </row>
    <row r="40" spans="1:52" ht="46.5" customHeight="1">
      <c r="A40" s="9"/>
      <c r="B40" s="43" t="s">
        <v>25</v>
      </c>
      <c r="C40" s="10"/>
      <c r="D40" s="15">
        <f aca="true" t="shared" si="27" ref="D40:D46">SUM(E40:I40)</f>
        <v>40302.51028248588</v>
      </c>
      <c r="E40" s="34">
        <f>S40/L40</f>
        <v>3897.250282485876</v>
      </c>
      <c r="F40" s="34">
        <v>1160.53</v>
      </c>
      <c r="G40" s="34">
        <v>17752.56</v>
      </c>
      <c r="H40" s="34">
        <v>6466.97</v>
      </c>
      <c r="I40" s="34">
        <v>11025.2</v>
      </c>
      <c r="J40" s="96"/>
      <c r="K40" s="120">
        <f t="shared" si="18"/>
        <v>19.103404095763718</v>
      </c>
      <c r="L40" s="37">
        <v>17.7</v>
      </c>
      <c r="M40" s="37">
        <v>19.8</v>
      </c>
      <c r="N40" s="37">
        <f>M40</f>
        <v>19.8</v>
      </c>
      <c r="O40" s="37">
        <f>N40</f>
        <v>19.8</v>
      </c>
      <c r="P40" s="37">
        <v>17.99</v>
      </c>
      <c r="Q40" s="37"/>
      <c r="R40" s="15">
        <f aca="true" t="shared" si="28" ref="R40:R46">SUM(S40:W40)</f>
        <v>769915.14</v>
      </c>
      <c r="S40" s="37">
        <v>68981.33</v>
      </c>
      <c r="T40" s="37">
        <v>22978.96</v>
      </c>
      <c r="U40" s="37">
        <v>351507.78</v>
      </c>
      <c r="V40" s="37">
        <v>128048.6</v>
      </c>
      <c r="W40" s="37">
        <v>198398.47</v>
      </c>
      <c r="X40" s="37"/>
      <c r="Y40" s="67">
        <f aca="true" t="shared" si="29" ref="Y40:Y46">SUM(Z40:AD40)</f>
        <v>41370.27340010273</v>
      </c>
      <c r="Z40" s="97">
        <f>AN40/AG40</f>
        <v>4325.828248587571</v>
      </c>
      <c r="AA40" s="97">
        <f>ROUND(AO40/AH40,3)</f>
        <v>1160.525</v>
      </c>
      <c r="AB40" s="97">
        <f>AP40/AI40</f>
        <v>17903.80101010101</v>
      </c>
      <c r="AC40" s="97">
        <f>AQ40/AJ40</f>
        <v>6529.786363636364</v>
      </c>
      <c r="AD40" s="97">
        <f>AR40/AK40</f>
        <v>11450.332777777778</v>
      </c>
      <c r="AE40" s="97"/>
      <c r="AF40" s="15">
        <f>AM40/Y40</f>
        <v>19.08221810296375</v>
      </c>
      <c r="AG40" s="37">
        <v>17.7</v>
      </c>
      <c r="AH40" s="37">
        <v>19.8</v>
      </c>
      <c r="AI40" s="37">
        <f>AH40</f>
        <v>19.8</v>
      </c>
      <c r="AJ40" s="37">
        <f>AH40</f>
        <v>19.8</v>
      </c>
      <c r="AK40" s="37">
        <v>18</v>
      </c>
      <c r="AL40" s="37"/>
      <c r="AM40" s="15">
        <f aca="true" t="shared" si="30" ref="AM40:AM46">SUM(AN40:AR40)</f>
        <v>789436.58</v>
      </c>
      <c r="AN40" s="37">
        <f>76567.16</f>
        <v>76567.16</v>
      </c>
      <c r="AO40" s="37">
        <f>22978.4</f>
        <v>22978.4</v>
      </c>
      <c r="AP40" s="37">
        <f>-0.65+61791.6+111116.81+181587.5</f>
        <v>354495.26</v>
      </c>
      <c r="AQ40" s="37">
        <f>0.06+129289.71</f>
        <v>129289.77</v>
      </c>
      <c r="AR40" s="37">
        <f>-36+60494.64+145647.35</f>
        <v>206105.99</v>
      </c>
      <c r="AS40" s="37"/>
      <c r="AT40" s="15">
        <f aca="true" t="shared" si="31" ref="AT40:AT46">SUM(AU40:AY40)</f>
        <v>-110.25200000001725</v>
      </c>
      <c r="AU40" s="37">
        <f>(L40-AG40)*E40</f>
        <v>0</v>
      </c>
      <c r="AV40" s="37">
        <f>(M40-AH40)*F40</f>
        <v>0</v>
      </c>
      <c r="AW40" s="37">
        <f>(N40-AI40)*G40</f>
        <v>0</v>
      </c>
      <c r="AX40" s="37">
        <f>(O40-AJ40)*H40</f>
        <v>0</v>
      </c>
      <c r="AY40" s="37">
        <f>(P40-AK40)*I40</f>
        <v>-110.25200000001725</v>
      </c>
      <c r="AZ40" s="37"/>
    </row>
    <row r="41" spans="1:52" ht="47.25" customHeight="1">
      <c r="A41" s="38"/>
      <c r="B41" s="43" t="s">
        <v>29</v>
      </c>
      <c r="C41" s="10"/>
      <c r="D41" s="15">
        <f t="shared" si="27"/>
        <v>3518.96</v>
      </c>
      <c r="E41" s="13"/>
      <c r="F41" s="13"/>
      <c r="G41" s="13"/>
      <c r="H41" s="65">
        <v>3518.96</v>
      </c>
      <c r="I41" s="13"/>
      <c r="J41" s="13"/>
      <c r="K41" s="14">
        <f t="shared" si="18"/>
        <v>13.58179973628572</v>
      </c>
      <c r="L41" s="37"/>
      <c r="M41" s="37"/>
      <c r="N41" s="37"/>
      <c r="O41" s="37">
        <v>13.58</v>
      </c>
      <c r="P41" s="37"/>
      <c r="Q41" s="37"/>
      <c r="R41" s="15">
        <f t="shared" si="28"/>
        <v>47793.81</v>
      </c>
      <c r="S41" s="13"/>
      <c r="T41" s="13"/>
      <c r="U41" s="13"/>
      <c r="V41" s="13">
        <v>47793.81</v>
      </c>
      <c r="W41" s="13"/>
      <c r="X41" s="37"/>
      <c r="Y41" s="67">
        <f t="shared" si="29"/>
        <v>3337.562592047128</v>
      </c>
      <c r="Z41" s="97"/>
      <c r="AA41" s="65"/>
      <c r="AB41" s="97"/>
      <c r="AC41" s="97">
        <f>AQ41/AJ41</f>
        <v>3337.562592047128</v>
      </c>
      <c r="AD41" s="97"/>
      <c r="AE41" s="97"/>
      <c r="AF41" s="14">
        <f>AJ41</f>
        <v>13.58</v>
      </c>
      <c r="AG41" s="37"/>
      <c r="AH41" s="37"/>
      <c r="AI41" s="13"/>
      <c r="AJ41" s="13">
        <v>13.58</v>
      </c>
      <c r="AK41" s="13"/>
      <c r="AL41" s="37"/>
      <c r="AM41" s="15">
        <f t="shared" si="30"/>
        <v>45324.1</v>
      </c>
      <c r="AN41" s="13"/>
      <c r="AO41" s="13"/>
      <c r="AP41" s="13"/>
      <c r="AQ41" s="13">
        <f>29955.61+15368.49</f>
        <v>45324.1</v>
      </c>
      <c r="AR41" s="13"/>
      <c r="AS41" s="37"/>
      <c r="AT41" s="15">
        <f t="shared" si="31"/>
        <v>0</v>
      </c>
      <c r="AU41" s="37"/>
      <c r="AV41" s="37"/>
      <c r="AW41" s="37"/>
      <c r="AX41" s="37"/>
      <c r="AY41" s="37"/>
      <c r="AZ41" s="13"/>
    </row>
    <row r="42" spans="1:52" ht="47.25" customHeight="1">
      <c r="A42" s="38"/>
      <c r="B42" s="43" t="s">
        <v>55</v>
      </c>
      <c r="C42" s="10"/>
      <c r="D42" s="15">
        <f>F42</f>
        <v>0</v>
      </c>
      <c r="E42" s="37"/>
      <c r="F42" s="144"/>
      <c r="G42" s="37"/>
      <c r="H42" s="97"/>
      <c r="I42" s="37"/>
      <c r="J42" s="37"/>
      <c r="K42" s="14" t="e">
        <f t="shared" si="18"/>
        <v>#DIV/0!</v>
      </c>
      <c r="L42" s="37"/>
      <c r="M42" s="37">
        <v>13.58</v>
      </c>
      <c r="N42" s="37"/>
      <c r="O42" s="37"/>
      <c r="P42" s="37"/>
      <c r="Q42" s="37"/>
      <c r="R42" s="15"/>
      <c r="S42" s="13"/>
      <c r="T42" s="147"/>
      <c r="U42" s="13"/>
      <c r="V42" s="13"/>
      <c r="W42" s="13"/>
      <c r="X42" s="37"/>
      <c r="Y42" s="67">
        <f>AA42</f>
        <v>4</v>
      </c>
      <c r="Z42" s="97"/>
      <c r="AA42" s="97">
        <f>AO42/AH42</f>
        <v>4</v>
      </c>
      <c r="AB42" s="97"/>
      <c r="AC42" s="97"/>
      <c r="AD42" s="97"/>
      <c r="AE42" s="97"/>
      <c r="AF42" s="14">
        <f>AH42</f>
        <v>19.8</v>
      </c>
      <c r="AG42" s="37"/>
      <c r="AH42" s="37">
        <v>19.8</v>
      </c>
      <c r="AI42" s="13"/>
      <c r="AJ42" s="13"/>
      <c r="AK42" s="13"/>
      <c r="AL42" s="37"/>
      <c r="AM42" s="15">
        <f>AO42</f>
        <v>79.2</v>
      </c>
      <c r="AN42" s="13"/>
      <c r="AO42" s="13">
        <v>79.2</v>
      </c>
      <c r="AP42" s="13"/>
      <c r="AQ42" s="13"/>
      <c r="AR42" s="13"/>
      <c r="AS42" s="37"/>
      <c r="AT42" s="15"/>
      <c r="AU42" s="37"/>
      <c r="AV42" s="37"/>
      <c r="AW42" s="37"/>
      <c r="AX42" s="37"/>
      <c r="AY42" s="37"/>
      <c r="AZ42" s="13"/>
    </row>
    <row r="43" spans="1:52" s="4" customFormat="1" ht="39.75" customHeight="1">
      <c r="A43" s="66"/>
      <c r="B43" s="39" t="s">
        <v>44</v>
      </c>
      <c r="C43" s="39"/>
      <c r="D43" s="15">
        <f>SUM(E43:I43)</f>
        <v>0</v>
      </c>
      <c r="E43" s="37"/>
      <c r="F43" s="37"/>
      <c r="G43" s="37"/>
      <c r="H43" s="37"/>
      <c r="I43" s="37"/>
      <c r="J43" s="37"/>
      <c r="K43" s="14" t="e">
        <f t="shared" si="18"/>
        <v>#DIV/0!</v>
      </c>
      <c r="L43" s="13"/>
      <c r="M43" s="37"/>
      <c r="N43" s="13"/>
      <c r="O43" s="139"/>
      <c r="P43" s="37"/>
      <c r="Q43" s="37"/>
      <c r="R43" s="15">
        <f>SUM(S43:W43)</f>
        <v>0</v>
      </c>
      <c r="S43" s="13"/>
      <c r="T43" s="13"/>
      <c r="U43" s="13"/>
      <c r="V43" s="13"/>
      <c r="W43" s="13"/>
      <c r="X43" s="37"/>
      <c r="Y43" s="67">
        <f>SUM(Z43:AD43)</f>
        <v>0</v>
      </c>
      <c r="Z43" s="97"/>
      <c r="AA43" s="97"/>
      <c r="AB43" s="97"/>
      <c r="AC43" s="97"/>
      <c r="AD43" s="97"/>
      <c r="AE43" s="97"/>
      <c r="AF43" s="14">
        <f>AJ43</f>
        <v>0</v>
      </c>
      <c r="AG43" s="37"/>
      <c r="AH43" s="37"/>
      <c r="AI43" s="13"/>
      <c r="AJ43" s="127"/>
      <c r="AK43" s="13"/>
      <c r="AL43" s="37"/>
      <c r="AM43" s="15">
        <f>SUM(AN43:AR43)</f>
        <v>0</v>
      </c>
      <c r="AN43" s="13"/>
      <c r="AO43" s="13"/>
      <c r="AP43" s="13"/>
      <c r="AQ43" s="13"/>
      <c r="AR43" s="13"/>
      <c r="AS43" s="37"/>
      <c r="AT43" s="15">
        <f>SUM(AU43:AY43)</f>
        <v>0</v>
      </c>
      <c r="AU43" s="37"/>
      <c r="AV43" s="37"/>
      <c r="AW43" s="37"/>
      <c r="AX43" s="37"/>
      <c r="AY43" s="37"/>
      <c r="AZ43" s="13"/>
    </row>
    <row r="44" spans="1:52" ht="43.5" customHeight="1">
      <c r="A44" s="66"/>
      <c r="B44" s="39" t="s">
        <v>26</v>
      </c>
      <c r="C44" s="39"/>
      <c r="D44" s="64">
        <f>SUM(E44:I44)</f>
        <v>777.758</v>
      </c>
      <c r="E44" s="125"/>
      <c r="F44" s="125"/>
      <c r="G44" s="125"/>
      <c r="H44" s="125"/>
      <c r="I44" s="128">
        <v>777.758</v>
      </c>
      <c r="J44" s="13"/>
      <c r="K44" s="126">
        <f t="shared" si="18"/>
        <v>18.00000771448188</v>
      </c>
      <c r="L44" s="13"/>
      <c r="M44" s="13"/>
      <c r="N44" s="13"/>
      <c r="O44" s="13"/>
      <c r="P44" s="13">
        <v>18</v>
      </c>
      <c r="Q44" s="13"/>
      <c r="R44" s="14">
        <f>SUM(S44:W44)</f>
        <v>13999.65</v>
      </c>
      <c r="S44" s="13"/>
      <c r="T44" s="13"/>
      <c r="U44" s="13"/>
      <c r="V44" s="13"/>
      <c r="W44" s="13">
        <v>13999.65</v>
      </c>
      <c r="X44" s="13"/>
      <c r="Y44" s="64">
        <f>SUM(Z44:AD44)</f>
        <v>777.7583333333334</v>
      </c>
      <c r="Z44" s="65"/>
      <c r="AA44" s="65"/>
      <c r="AB44" s="65"/>
      <c r="AC44" s="65"/>
      <c r="AD44" s="65">
        <f>AR44/AK44</f>
        <v>777.7583333333334</v>
      </c>
      <c r="AE44" s="65"/>
      <c r="AF44" s="14">
        <f>AK44</f>
        <v>18</v>
      </c>
      <c r="AG44" s="13"/>
      <c r="AH44" s="13"/>
      <c r="AI44" s="13"/>
      <c r="AJ44" s="13"/>
      <c r="AK44" s="13">
        <v>18</v>
      </c>
      <c r="AL44" s="13"/>
      <c r="AM44" s="14">
        <f>SUM(AN44:AR44)</f>
        <v>13999.650000000001</v>
      </c>
      <c r="AN44" s="13"/>
      <c r="AO44" s="13"/>
      <c r="AP44" s="13"/>
      <c r="AQ44" s="13"/>
      <c r="AR44" s="13">
        <f>5103.72+8895.93</f>
        <v>13999.650000000001</v>
      </c>
      <c r="AS44" s="13"/>
      <c r="AT44" s="14">
        <f>SUM(AU44:AY44)</f>
        <v>0</v>
      </c>
      <c r="AU44" s="37"/>
      <c r="AV44" s="37"/>
      <c r="AW44" s="37"/>
      <c r="AX44" s="37"/>
      <c r="AY44" s="37">
        <f>(P44-AK44)*I44</f>
        <v>0</v>
      </c>
      <c r="AZ44" s="13"/>
    </row>
    <row r="45" spans="1:52" ht="81.75" customHeight="1">
      <c r="A45" s="9"/>
      <c r="B45" s="43" t="s">
        <v>27</v>
      </c>
      <c r="C45" s="10"/>
      <c r="D45" s="15">
        <f t="shared" si="27"/>
        <v>9824.819943502825</v>
      </c>
      <c r="E45" s="97">
        <f>S45/L45</f>
        <v>5236.929943502825</v>
      </c>
      <c r="F45" s="97">
        <v>4587.89</v>
      </c>
      <c r="G45" s="37"/>
      <c r="H45" s="37"/>
      <c r="I45" s="37"/>
      <c r="J45" s="37"/>
      <c r="K45" s="15">
        <f t="shared" si="18"/>
        <v>18.774495722130887</v>
      </c>
      <c r="L45" s="37">
        <v>17.7</v>
      </c>
      <c r="M45" s="37">
        <v>20</v>
      </c>
      <c r="N45" s="37"/>
      <c r="O45" s="37"/>
      <c r="P45" s="37"/>
      <c r="Q45" s="37"/>
      <c r="R45" s="15">
        <f t="shared" si="28"/>
        <v>184456.04</v>
      </c>
      <c r="S45" s="37">
        <v>92693.66</v>
      </c>
      <c r="T45" s="37">
        <v>91762.38</v>
      </c>
      <c r="U45" s="37"/>
      <c r="V45" s="37"/>
      <c r="W45" s="37"/>
      <c r="X45" s="37"/>
      <c r="Y45" s="67">
        <f t="shared" si="29"/>
        <v>9594.134028248589</v>
      </c>
      <c r="Z45" s="97">
        <f>AN45/AG45</f>
        <v>5178.235028248589</v>
      </c>
      <c r="AA45" s="97">
        <f>ROUND(AO45/AH45,3)</f>
        <v>4415.899</v>
      </c>
      <c r="AB45" s="97"/>
      <c r="AC45" s="97"/>
      <c r="AD45" s="97"/>
      <c r="AE45" s="97"/>
      <c r="AF45" s="15">
        <f>AM45/Y45</f>
        <v>18.758621619220182</v>
      </c>
      <c r="AG45" s="37">
        <v>17.7</v>
      </c>
      <c r="AH45" s="37">
        <v>20</v>
      </c>
      <c r="AI45" s="37"/>
      <c r="AJ45" s="37"/>
      <c r="AK45" s="37"/>
      <c r="AL45" s="37"/>
      <c r="AM45" s="15">
        <f>SUM(AN45:AS45)</f>
        <v>179972.73</v>
      </c>
      <c r="AN45" s="37">
        <f>10636.46+81018.3</f>
        <v>91654.76000000001</v>
      </c>
      <c r="AO45" s="37">
        <f>25445.99+62871.98</f>
        <v>88317.97</v>
      </c>
      <c r="AP45" s="37"/>
      <c r="AQ45" s="37"/>
      <c r="AR45" s="37"/>
      <c r="AS45" s="37"/>
      <c r="AT45" s="15">
        <f t="shared" si="31"/>
        <v>0</v>
      </c>
      <c r="AU45" s="37">
        <f>(L45-AG45)*E45</f>
        <v>0</v>
      </c>
      <c r="AV45" s="37">
        <f>(M45-AH45)*F45</f>
        <v>0</v>
      </c>
      <c r="AW45" s="37"/>
      <c r="AX45" s="37"/>
      <c r="AY45" s="37"/>
      <c r="AZ45" s="13"/>
    </row>
    <row r="46" spans="1:52" ht="81.75" customHeight="1" thickBot="1">
      <c r="A46" s="38"/>
      <c r="B46" s="39" t="s">
        <v>28</v>
      </c>
      <c r="C46" s="40"/>
      <c r="D46" s="15">
        <f t="shared" si="27"/>
        <v>18175</v>
      </c>
      <c r="E46" s="13"/>
      <c r="F46" s="65">
        <v>18175</v>
      </c>
      <c r="G46" s="37"/>
      <c r="H46" s="37"/>
      <c r="I46" s="37"/>
      <c r="J46" s="37"/>
      <c r="K46" s="14">
        <f t="shared" si="18"/>
        <v>20.001000275103163</v>
      </c>
      <c r="L46" s="13"/>
      <c r="M46" s="139">
        <v>20</v>
      </c>
      <c r="N46" s="37"/>
      <c r="O46" s="37"/>
      <c r="P46" s="37"/>
      <c r="Q46" s="37"/>
      <c r="R46" s="15">
        <f t="shared" si="28"/>
        <v>363518.18</v>
      </c>
      <c r="S46" s="13"/>
      <c r="T46" s="13">
        <v>363518.18</v>
      </c>
      <c r="U46" s="13"/>
      <c r="V46" s="13"/>
      <c r="W46" s="13"/>
      <c r="X46" s="37"/>
      <c r="Y46" s="67">
        <f t="shared" si="29"/>
        <v>18175</v>
      </c>
      <c r="Z46" s="97"/>
      <c r="AA46" s="97">
        <f>ROUND(AO46/AH46,0)</f>
        <v>18175</v>
      </c>
      <c r="AB46" s="97" t="s">
        <v>34</v>
      </c>
      <c r="AC46" s="97"/>
      <c r="AD46" s="97"/>
      <c r="AE46" s="97"/>
      <c r="AF46" s="14">
        <f>AH46</f>
        <v>20</v>
      </c>
      <c r="AG46" s="37"/>
      <c r="AH46" s="37">
        <v>20</v>
      </c>
      <c r="AI46" s="13"/>
      <c r="AJ46" s="13"/>
      <c r="AK46" s="13"/>
      <c r="AL46" s="37"/>
      <c r="AM46" s="15">
        <f t="shared" si="30"/>
        <v>363498.85</v>
      </c>
      <c r="AN46" s="13"/>
      <c r="AO46" s="13">
        <f>119337.19+244161.66</f>
        <v>363498.85</v>
      </c>
      <c r="AP46" s="13"/>
      <c r="AQ46" s="13"/>
      <c r="AR46" s="13"/>
      <c r="AS46" s="37"/>
      <c r="AT46" s="15">
        <f t="shared" si="31"/>
        <v>0</v>
      </c>
      <c r="AU46" s="37"/>
      <c r="AV46" s="37">
        <f>(M46-AH46)*F46</f>
        <v>0</v>
      </c>
      <c r="AW46" s="37"/>
      <c r="AX46" s="37"/>
      <c r="AY46" s="37"/>
      <c r="AZ46" s="13"/>
    </row>
    <row r="47" spans="1:65" s="91" customFormat="1" ht="27.75" customHeight="1" thickBot="1">
      <c r="A47" s="88"/>
      <c r="B47" s="89" t="s">
        <v>56</v>
      </c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>
        <f aca="true" t="shared" si="32" ref="R47:X47">R37+R27+R19+R7</f>
        <v>4957687.53</v>
      </c>
      <c r="S47" s="90">
        <f t="shared" si="32"/>
        <v>399562.64</v>
      </c>
      <c r="T47" s="90">
        <f t="shared" si="32"/>
        <v>2343082.41</v>
      </c>
      <c r="U47" s="90">
        <f t="shared" si="32"/>
        <v>1069111.16</v>
      </c>
      <c r="V47" s="90">
        <f t="shared" si="32"/>
        <v>386596.13</v>
      </c>
      <c r="W47" s="90">
        <f t="shared" si="32"/>
        <v>728781.52</v>
      </c>
      <c r="X47" s="90">
        <f t="shared" si="32"/>
        <v>30553.67</v>
      </c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>
        <f aca="true" t="shared" si="33" ref="AM47:AZ47">AM37+AM27+AM19+AM7</f>
        <v>5008152.12</v>
      </c>
      <c r="AN47" s="90">
        <f t="shared" si="33"/>
        <v>405001.88</v>
      </c>
      <c r="AO47" s="90">
        <f t="shared" si="33"/>
        <v>2408241.76</v>
      </c>
      <c r="AP47" s="90">
        <f t="shared" si="33"/>
        <v>1053862.8900000001</v>
      </c>
      <c r="AQ47" s="90">
        <f t="shared" si="33"/>
        <v>385729.3</v>
      </c>
      <c r="AR47" s="90">
        <f t="shared" si="33"/>
        <v>724765.73</v>
      </c>
      <c r="AS47" s="90">
        <f t="shared" si="33"/>
        <v>30550.56</v>
      </c>
      <c r="AT47" s="90">
        <f t="shared" si="33"/>
        <v>-55433.382769</v>
      </c>
      <c r="AU47" s="90">
        <f t="shared" si="33"/>
        <v>6.009388999994535</v>
      </c>
      <c r="AV47" s="90">
        <f t="shared" si="33"/>
        <v>-61979.46859999999</v>
      </c>
      <c r="AW47" s="90">
        <f t="shared" si="33"/>
        <v>2.941700000001505</v>
      </c>
      <c r="AX47" s="90">
        <f t="shared" si="33"/>
        <v>0</v>
      </c>
      <c r="AY47" s="90">
        <f t="shared" si="33"/>
        <v>6538.406291999993</v>
      </c>
      <c r="AZ47" s="90">
        <f t="shared" si="33"/>
        <v>-1.2715499999988435</v>
      </c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</row>
    <row r="48" spans="5:25" ht="25.5" customHeight="1">
      <c r="E48" s="6"/>
      <c r="Y48" s="6"/>
    </row>
    <row r="49" spans="2:57" ht="55.5" customHeight="1">
      <c r="B49" s="208"/>
      <c r="C49" s="208"/>
      <c r="D49" s="208"/>
      <c r="E49" s="208"/>
      <c r="U49" s="208"/>
      <c r="V49" s="208"/>
      <c r="W49" s="94"/>
      <c r="X49" s="94"/>
      <c r="Y49" s="94"/>
      <c r="Z49" s="94"/>
      <c r="AT49" s="213" t="s">
        <v>19</v>
      </c>
      <c r="AU49" s="213"/>
      <c r="AV49" s="213"/>
      <c r="AW49" s="213"/>
      <c r="AY49" s="214" t="s">
        <v>45</v>
      </c>
      <c r="AZ49" s="214"/>
      <c r="BA49" s="208"/>
      <c r="BB49" s="208"/>
      <c r="BC49" s="208"/>
      <c r="BD49" s="208"/>
      <c r="BE49" s="208"/>
    </row>
    <row r="50" spans="5:26" ht="55.5" customHeight="1">
      <c r="E50" s="6"/>
      <c r="Y50" s="6"/>
      <c r="Z50" s="6"/>
    </row>
    <row r="51" spans="5:54" ht="26.25">
      <c r="E51" s="6"/>
      <c r="Y51" s="6"/>
      <c r="Z51" s="6"/>
      <c r="AT51" s="6"/>
      <c r="AV51" s="93"/>
      <c r="BA51" s="6"/>
      <c r="BB51" s="6"/>
    </row>
    <row r="52" spans="5:26" ht="26.25">
      <c r="E52" s="6"/>
      <c r="Y52" s="6"/>
      <c r="Z52" s="6"/>
    </row>
    <row r="53" spans="5:26" ht="26.25">
      <c r="E53" s="6"/>
      <c r="Y53" s="6"/>
      <c r="Z53" s="6"/>
    </row>
    <row r="54" spans="5:26" ht="26.25">
      <c r="E54" s="6"/>
      <c r="Y54" s="6"/>
      <c r="Z54" s="6"/>
    </row>
    <row r="55" spans="5:26" ht="26.25">
      <c r="E55" s="6"/>
      <c r="Y55" s="6"/>
      <c r="Z55" s="6"/>
    </row>
    <row r="56" spans="5:26" ht="26.25">
      <c r="E56" s="6"/>
      <c r="Y56" s="6"/>
      <c r="Z56" s="6"/>
    </row>
    <row r="57" spans="5:26" ht="26.25">
      <c r="E57" s="6"/>
      <c r="Y57" s="6"/>
      <c r="Z57" s="6"/>
    </row>
    <row r="58" spans="5:26" ht="26.25">
      <c r="E58" s="6"/>
      <c r="Y58" s="6"/>
      <c r="Z58" s="6"/>
    </row>
    <row r="59" spans="5:26" ht="26.25">
      <c r="E59" s="6"/>
      <c r="Y59" s="6"/>
      <c r="Z59" s="6"/>
    </row>
    <row r="60" spans="5:26" ht="26.25">
      <c r="E60" s="6"/>
      <c r="Y60" s="6"/>
      <c r="Z60" s="6"/>
    </row>
    <row r="61" spans="5:26" ht="26.25">
      <c r="E61" s="6"/>
      <c r="Y61" s="6"/>
      <c r="Z61" s="6"/>
    </row>
    <row r="62" spans="5:26" ht="26.25">
      <c r="E62" s="6"/>
      <c r="Y62" s="6"/>
      <c r="Z62" s="6"/>
    </row>
    <row r="63" spans="5:26" ht="26.25">
      <c r="E63" s="6"/>
      <c r="Y63" s="6"/>
      <c r="Z63" s="6"/>
    </row>
    <row r="64" spans="5:26" ht="26.25">
      <c r="E64" s="6"/>
      <c r="Y64" s="6"/>
      <c r="Z64" s="6"/>
    </row>
    <row r="65" spans="5:26" ht="26.25">
      <c r="E65" s="6"/>
      <c r="Y65" s="6"/>
      <c r="Z65" s="6"/>
    </row>
    <row r="66" spans="5:26" ht="26.25">
      <c r="E66" s="6"/>
      <c r="Y66" s="6"/>
      <c r="Z66" s="6"/>
    </row>
    <row r="67" spans="5:26" ht="26.25">
      <c r="E67" s="6"/>
      <c r="Y67" s="6"/>
      <c r="Z67" s="6"/>
    </row>
    <row r="68" spans="5:26" ht="26.25">
      <c r="E68" s="6"/>
      <c r="Y68" s="6"/>
      <c r="Z68" s="6"/>
    </row>
    <row r="69" spans="5:26" ht="26.25">
      <c r="E69" s="6"/>
      <c r="Y69" s="6"/>
      <c r="Z69" s="6"/>
    </row>
    <row r="70" spans="5:26" ht="26.25">
      <c r="E70" s="6"/>
      <c r="Y70" s="6"/>
      <c r="Z70" s="6"/>
    </row>
    <row r="71" spans="5:26" ht="26.25">
      <c r="E71" s="6"/>
      <c r="Y71" s="6"/>
      <c r="Z71" s="6"/>
    </row>
    <row r="72" spans="5:26" ht="26.25">
      <c r="E72" s="6"/>
      <c r="Y72" s="6"/>
      <c r="Z72" s="6"/>
    </row>
    <row r="73" spans="5:26" ht="26.25">
      <c r="E73" s="6"/>
      <c r="Y73" s="6"/>
      <c r="Z73" s="6"/>
    </row>
    <row r="74" spans="5:26" ht="26.25">
      <c r="E74" s="6"/>
      <c r="Y74" s="6"/>
      <c r="Z74" s="6"/>
    </row>
    <row r="75" spans="5:26" ht="26.25">
      <c r="E75" s="6"/>
      <c r="Y75" s="6"/>
      <c r="Z75" s="6"/>
    </row>
    <row r="76" spans="5:26" ht="26.25">
      <c r="E76" s="6"/>
      <c r="Y76" s="6"/>
      <c r="Z76" s="6"/>
    </row>
    <row r="77" spans="5:26" ht="26.25">
      <c r="E77" s="6"/>
      <c r="Y77" s="6"/>
      <c r="Z77" s="6"/>
    </row>
    <row r="78" spans="5:26" ht="26.25">
      <c r="E78" s="6"/>
      <c r="Y78" s="6"/>
      <c r="Z78" s="6"/>
    </row>
    <row r="79" spans="5:26" ht="26.25">
      <c r="E79" s="6"/>
      <c r="Y79" s="6"/>
      <c r="Z79" s="6"/>
    </row>
    <row r="80" spans="5:26" ht="26.25">
      <c r="E80" s="6"/>
      <c r="Y80" s="6"/>
      <c r="Z80" s="6"/>
    </row>
    <row r="81" spans="5:26" ht="26.25">
      <c r="E81" s="6"/>
      <c r="Y81" s="6"/>
      <c r="Z81" s="6"/>
    </row>
    <row r="82" spans="5:26" ht="26.25">
      <c r="E82" s="6"/>
      <c r="Y82" s="6"/>
      <c r="Z82" s="6"/>
    </row>
    <row r="83" spans="5:26" ht="26.25">
      <c r="E83" s="6"/>
      <c r="Y83" s="6"/>
      <c r="Z83" s="6"/>
    </row>
    <row r="84" spans="5:26" ht="26.25">
      <c r="E84" s="6"/>
      <c r="Y84" s="6"/>
      <c r="Z84" s="6"/>
    </row>
    <row r="85" spans="5:26" ht="26.25">
      <c r="E85" s="6"/>
      <c r="Y85" s="6"/>
      <c r="Z85" s="6"/>
    </row>
    <row r="86" spans="5:26" ht="26.25">
      <c r="E86" s="6"/>
      <c r="Y86" s="6"/>
      <c r="Z86" s="6"/>
    </row>
    <row r="87" spans="5:26" ht="26.25">
      <c r="E87" s="6"/>
      <c r="Y87" s="6"/>
      <c r="Z87" s="6"/>
    </row>
    <row r="88" spans="5:26" ht="26.25">
      <c r="E88" s="6"/>
      <c r="Y88" s="6"/>
      <c r="Z88" s="6"/>
    </row>
    <row r="89" spans="5:26" ht="26.25">
      <c r="E89" s="6"/>
      <c r="Y89" s="6"/>
      <c r="Z89" s="6"/>
    </row>
    <row r="90" spans="5:26" ht="26.25">
      <c r="E90" s="6"/>
      <c r="Y90" s="6"/>
      <c r="Z90" s="6"/>
    </row>
    <row r="91" spans="25:26" ht="26.25">
      <c r="Y91" s="6"/>
      <c r="Z91" s="6"/>
    </row>
    <row r="92" spans="25:26" ht="26.25">
      <c r="Y92" s="6"/>
      <c r="Z92" s="6"/>
    </row>
    <row r="93" spans="25:26" ht="26.25">
      <c r="Y93" s="6"/>
      <c r="Z93" s="6"/>
    </row>
    <row r="94" spans="25:26" ht="26.25">
      <c r="Y94" s="6"/>
      <c r="Z94" s="6"/>
    </row>
    <row r="95" spans="25:26" ht="26.25">
      <c r="Y95" s="6"/>
      <c r="Z95" s="6"/>
    </row>
    <row r="96" spans="25:26" ht="26.25">
      <c r="Y96" s="6"/>
      <c r="Z96" s="6"/>
    </row>
    <row r="97" spans="25:26" ht="26.25">
      <c r="Y97" s="6"/>
      <c r="Z97" s="6"/>
    </row>
    <row r="98" spans="25:26" ht="26.25">
      <c r="Y98" s="6"/>
      <c r="Z98" s="6"/>
    </row>
    <row r="99" spans="25:26" ht="26.25">
      <c r="Y99" s="6"/>
      <c r="Z99" s="6"/>
    </row>
    <row r="100" spans="25:26" ht="26.25">
      <c r="Y100" s="6"/>
      <c r="Z100" s="6"/>
    </row>
    <row r="101" spans="25:26" ht="26.25">
      <c r="Y101" s="6"/>
      <c r="Z101" s="6"/>
    </row>
    <row r="102" spans="25:26" ht="26.25">
      <c r="Y102" s="6"/>
      <c r="Z102" s="6"/>
    </row>
    <row r="103" spans="25:26" ht="26.25">
      <c r="Y103" s="6"/>
      <c r="Z103" s="6"/>
    </row>
    <row r="104" spans="25:26" ht="26.25">
      <c r="Y104" s="6"/>
      <c r="Z104" s="6"/>
    </row>
    <row r="105" spans="25:26" ht="26.25">
      <c r="Y105" s="6"/>
      <c r="Z105" s="6"/>
    </row>
    <row r="106" spans="25:26" ht="26.25">
      <c r="Y106" s="6"/>
      <c r="Z106" s="6"/>
    </row>
    <row r="107" spans="25:26" ht="26.25">
      <c r="Y107" s="6"/>
      <c r="Z107" s="6"/>
    </row>
    <row r="108" spans="25:26" ht="26.25">
      <c r="Y108" s="6"/>
      <c r="Z108" s="6"/>
    </row>
    <row r="109" spans="25:26" ht="26.25">
      <c r="Y109" s="6"/>
      <c r="Z109" s="6"/>
    </row>
    <row r="110" spans="25:26" ht="26.25">
      <c r="Y110" s="6"/>
      <c r="Z110" s="6"/>
    </row>
    <row r="111" spans="25:26" ht="26.25">
      <c r="Y111" s="6"/>
      <c r="Z111" s="6"/>
    </row>
    <row r="112" spans="25:26" ht="26.25">
      <c r="Y112" s="6"/>
      <c r="Z112" s="6"/>
    </row>
    <row r="113" spans="25:26" ht="26.25">
      <c r="Y113" s="6"/>
      <c r="Z113" s="6"/>
    </row>
    <row r="114" spans="25:26" ht="26.25">
      <c r="Y114" s="6"/>
      <c r="Z114" s="6"/>
    </row>
    <row r="115" spans="25:26" ht="26.25">
      <c r="Y115" s="6"/>
      <c r="Z115" s="6"/>
    </row>
    <row r="116" spans="25:26" ht="26.25">
      <c r="Y116" s="6"/>
      <c r="Z116" s="6"/>
    </row>
    <row r="117" spans="25:26" ht="26.25">
      <c r="Y117" s="6"/>
      <c r="Z117" s="6"/>
    </row>
    <row r="118" spans="25:26" ht="26.25">
      <c r="Y118" s="6"/>
      <c r="Z118" s="6"/>
    </row>
    <row r="119" spans="25:26" ht="26.25">
      <c r="Y119" s="6"/>
      <c r="Z119" s="6"/>
    </row>
    <row r="120" spans="25:26" ht="26.25">
      <c r="Y120" s="6"/>
      <c r="Z120" s="6"/>
    </row>
    <row r="121" spans="25:26" ht="26.25">
      <c r="Y121" s="6"/>
      <c r="Z121" s="6"/>
    </row>
    <row r="122" spans="25:26" ht="26.25">
      <c r="Y122" s="6"/>
      <c r="Z122" s="6"/>
    </row>
    <row r="123" spans="25:26" ht="26.25">
      <c r="Y123" s="6"/>
      <c r="Z123" s="6"/>
    </row>
    <row r="124" spans="25:26" ht="26.25">
      <c r="Y124" s="6"/>
      <c r="Z124" s="6"/>
    </row>
    <row r="125" spans="25:26" ht="26.25">
      <c r="Y125" s="6"/>
      <c r="Z125" s="6"/>
    </row>
    <row r="126" spans="25:26" ht="26.25">
      <c r="Y126" s="6"/>
      <c r="Z126" s="6"/>
    </row>
    <row r="127" spans="25:26" ht="26.25">
      <c r="Y127" s="6"/>
      <c r="Z127" s="6"/>
    </row>
    <row r="128" spans="25:26" ht="26.25">
      <c r="Y128" s="6"/>
      <c r="Z128" s="6"/>
    </row>
    <row r="129" spans="25:26" ht="26.25">
      <c r="Y129" s="6"/>
      <c r="Z129" s="6"/>
    </row>
    <row r="130" spans="25:26" ht="26.25">
      <c r="Y130" s="6"/>
      <c r="Z130" s="6"/>
    </row>
    <row r="131" spans="25:26" ht="26.25">
      <c r="Y131" s="6"/>
      <c r="Z131" s="6"/>
    </row>
    <row r="132" spans="25:26" ht="26.25">
      <c r="Y132" s="6"/>
      <c r="Z132" s="6"/>
    </row>
    <row r="133" spans="25:26" ht="26.25">
      <c r="Y133" s="6"/>
      <c r="Z133" s="6"/>
    </row>
    <row r="134" spans="25:26" ht="26.25">
      <c r="Y134" s="6"/>
      <c r="Z134" s="6"/>
    </row>
    <row r="135" spans="25:26" ht="26.25">
      <c r="Y135" s="6"/>
      <c r="Z135" s="6"/>
    </row>
    <row r="136" spans="25:26" ht="26.25">
      <c r="Y136" s="6"/>
      <c r="Z136" s="6"/>
    </row>
    <row r="137" spans="25:26" ht="26.25">
      <c r="Y137" s="6"/>
      <c r="Z137" s="6"/>
    </row>
    <row r="138" spans="25:26" ht="26.25">
      <c r="Y138" s="6"/>
      <c r="Z138" s="6"/>
    </row>
    <row r="139" spans="25:26" ht="26.25">
      <c r="Y139" s="6"/>
      <c r="Z139" s="6"/>
    </row>
    <row r="140" spans="25:26" ht="26.25">
      <c r="Y140" s="6"/>
      <c r="Z140" s="6"/>
    </row>
    <row r="141" spans="25:26" ht="26.25">
      <c r="Y141" s="6"/>
      <c r="Z141" s="6"/>
    </row>
    <row r="142" spans="25:26" ht="26.25">
      <c r="Y142" s="6"/>
      <c r="Z142" s="6"/>
    </row>
    <row r="143" spans="25:26" ht="26.25">
      <c r="Y143" s="6"/>
      <c r="Z143" s="6"/>
    </row>
    <row r="144" spans="25:26" ht="26.25">
      <c r="Y144" s="6"/>
      <c r="Z144" s="6"/>
    </row>
    <row r="145" spans="25:26" ht="26.25">
      <c r="Y145" s="6"/>
      <c r="Z145" s="6"/>
    </row>
    <row r="146" spans="25:26" ht="26.25">
      <c r="Y146" s="6"/>
      <c r="Z146" s="6"/>
    </row>
    <row r="147" spans="25:26" ht="26.25">
      <c r="Y147" s="6"/>
      <c r="Z147" s="6"/>
    </row>
    <row r="148" spans="25:26" ht="26.25">
      <c r="Y148" s="6"/>
      <c r="Z148" s="6"/>
    </row>
    <row r="149" spans="25:26" ht="26.25">
      <c r="Y149" s="6"/>
      <c r="Z149" s="6"/>
    </row>
    <row r="150" spans="25:26" ht="26.25">
      <c r="Y150" s="6"/>
      <c r="Z150" s="6"/>
    </row>
    <row r="151" spans="25:26" ht="26.25">
      <c r="Y151" s="6"/>
      <c r="Z151" s="6"/>
    </row>
    <row r="152" spans="25:26" ht="26.25">
      <c r="Y152" s="6"/>
      <c r="Z152" s="6"/>
    </row>
    <row r="153" spans="25:26" ht="26.25">
      <c r="Y153" s="6"/>
      <c r="Z153" s="6"/>
    </row>
    <row r="154" spans="25:26" ht="26.25">
      <c r="Y154" s="6"/>
      <c r="Z154" s="6"/>
    </row>
    <row r="155" spans="25:26" ht="26.25">
      <c r="Y155" s="6"/>
      <c r="Z155" s="6"/>
    </row>
    <row r="156" spans="25:26" ht="26.25">
      <c r="Y156" s="6"/>
      <c r="Z156" s="6"/>
    </row>
    <row r="157" spans="25:26" ht="26.25">
      <c r="Y157" s="6"/>
      <c r="Z157" s="6"/>
    </row>
    <row r="158" spans="25:26" ht="26.25">
      <c r="Y158" s="6"/>
      <c r="Z158" s="6"/>
    </row>
    <row r="159" spans="25:26" ht="26.25">
      <c r="Y159" s="6"/>
      <c r="Z159" s="6"/>
    </row>
    <row r="160" spans="25:26" ht="26.25">
      <c r="Y160" s="6"/>
      <c r="Z160" s="6"/>
    </row>
    <row r="161" spans="25:26" ht="26.25">
      <c r="Y161" s="6"/>
      <c r="Z161" s="6"/>
    </row>
    <row r="162" spans="25:26" ht="26.25">
      <c r="Y162" s="6"/>
      <c r="Z162" s="6"/>
    </row>
    <row r="163" spans="25:26" ht="26.25">
      <c r="Y163" s="6"/>
      <c r="Z163" s="6"/>
    </row>
    <row r="164" spans="25:26" ht="26.25">
      <c r="Y164" s="6"/>
      <c r="Z164" s="6"/>
    </row>
    <row r="165" spans="25:26" ht="26.25">
      <c r="Y165" s="6"/>
      <c r="Z165" s="6"/>
    </row>
    <row r="166" spans="25:26" ht="26.25">
      <c r="Y166" s="6"/>
      <c r="Z166" s="6"/>
    </row>
    <row r="167" spans="25:26" ht="26.25">
      <c r="Y167" s="6"/>
      <c r="Z167" s="6"/>
    </row>
    <row r="168" spans="25:26" ht="26.25">
      <c r="Y168" s="6"/>
      <c r="Z168" s="6"/>
    </row>
    <row r="169" spans="25:26" ht="26.25">
      <c r="Y169" s="6"/>
      <c r="Z169" s="6"/>
    </row>
    <row r="170" spans="25:26" ht="26.25">
      <c r="Y170" s="6"/>
      <c r="Z170" s="6"/>
    </row>
    <row r="171" spans="25:26" ht="26.25">
      <c r="Y171" s="6"/>
      <c r="Z171" s="6"/>
    </row>
    <row r="172" spans="25:26" ht="26.25">
      <c r="Y172" s="6"/>
      <c r="Z172" s="6"/>
    </row>
    <row r="173" spans="25:26" ht="26.25">
      <c r="Y173" s="6"/>
      <c r="Z173" s="6"/>
    </row>
    <row r="174" spans="25:26" ht="26.25">
      <c r="Y174" s="6"/>
      <c r="Z174" s="6"/>
    </row>
    <row r="175" spans="25:26" ht="26.25">
      <c r="Y175" s="6"/>
      <c r="Z175" s="6"/>
    </row>
    <row r="176" spans="25:26" ht="26.25">
      <c r="Y176" s="6"/>
      <c r="Z176" s="6"/>
    </row>
    <row r="177" spans="25:26" ht="26.25">
      <c r="Y177" s="6"/>
      <c r="Z177" s="6"/>
    </row>
    <row r="178" spans="25:26" ht="26.25">
      <c r="Y178" s="6"/>
      <c r="Z178" s="6"/>
    </row>
    <row r="179" spans="25:26" ht="26.25">
      <c r="Y179" s="6"/>
      <c r="Z179" s="6"/>
    </row>
    <row r="180" spans="25:26" ht="26.25">
      <c r="Y180" s="6"/>
      <c r="Z180" s="6"/>
    </row>
    <row r="181" spans="25:26" ht="26.25">
      <c r="Y181" s="6"/>
      <c r="Z181" s="6"/>
    </row>
    <row r="182" spans="25:26" ht="26.25">
      <c r="Y182" s="6"/>
      <c r="Z182" s="6"/>
    </row>
    <row r="183" spans="25:26" ht="26.25">
      <c r="Y183" s="6"/>
      <c r="Z183" s="6"/>
    </row>
    <row r="184" spans="25:26" ht="26.25">
      <c r="Y184" s="6"/>
      <c r="Z184" s="6"/>
    </row>
    <row r="185" spans="25:26" ht="26.25">
      <c r="Y185" s="6"/>
      <c r="Z185" s="6"/>
    </row>
    <row r="186" spans="25:26" ht="26.25">
      <c r="Y186" s="6"/>
      <c r="Z186" s="6"/>
    </row>
    <row r="187" spans="25:26" ht="26.25">
      <c r="Y187" s="6"/>
      <c r="Z187" s="6"/>
    </row>
    <row r="188" spans="25:26" ht="26.25">
      <c r="Y188" s="6"/>
      <c r="Z188" s="6"/>
    </row>
    <row r="189" spans="25:26" ht="26.25">
      <c r="Y189" s="6"/>
      <c r="Z189" s="6"/>
    </row>
    <row r="190" spans="25:26" ht="26.25">
      <c r="Y190" s="6"/>
      <c r="Z190" s="6"/>
    </row>
    <row r="191" spans="25:26" ht="26.25">
      <c r="Y191" s="6"/>
      <c r="Z191" s="6"/>
    </row>
    <row r="192" spans="25:26" ht="26.25">
      <c r="Y192" s="6"/>
      <c r="Z192" s="6"/>
    </row>
    <row r="193" spans="25:26" ht="26.25">
      <c r="Y193" s="6"/>
      <c r="Z193" s="6"/>
    </row>
    <row r="194" spans="25:26" ht="26.25">
      <c r="Y194" s="6"/>
      <c r="Z194" s="6"/>
    </row>
    <row r="195" spans="25:26" ht="26.25">
      <c r="Y195" s="6"/>
      <c r="Z195" s="6"/>
    </row>
    <row r="196" spans="25:26" ht="26.25">
      <c r="Y196" s="6"/>
      <c r="Z196" s="6"/>
    </row>
    <row r="197" spans="25:26" ht="26.25">
      <c r="Y197" s="6"/>
      <c r="Z197" s="6"/>
    </row>
    <row r="198" spans="25:26" ht="26.25">
      <c r="Y198" s="6"/>
      <c r="Z198" s="6"/>
    </row>
    <row r="199" spans="25:26" ht="26.25">
      <c r="Y199" s="6"/>
      <c r="Z199" s="6"/>
    </row>
    <row r="200" spans="25:26" ht="26.25">
      <c r="Y200" s="6"/>
      <c r="Z200" s="6"/>
    </row>
    <row r="201" spans="25:26" ht="26.25">
      <c r="Y201" s="6"/>
      <c r="Z201" s="6"/>
    </row>
    <row r="202" spans="25:26" ht="26.25">
      <c r="Y202" s="6"/>
      <c r="Z202" s="6"/>
    </row>
    <row r="203" spans="25:26" ht="26.25">
      <c r="Y203" s="6"/>
      <c r="Z203" s="6"/>
    </row>
    <row r="204" spans="25:26" ht="26.25">
      <c r="Y204" s="6"/>
      <c r="Z204" s="6"/>
    </row>
    <row r="205" spans="25:26" ht="26.25">
      <c r="Y205" s="6"/>
      <c r="Z205" s="6"/>
    </row>
    <row r="206" spans="25:26" ht="26.25">
      <c r="Y206" s="6"/>
      <c r="Z206" s="6"/>
    </row>
    <row r="207" spans="25:26" ht="26.25">
      <c r="Y207" s="6"/>
      <c r="Z207" s="6"/>
    </row>
    <row r="208" spans="25:26" ht="26.25">
      <c r="Y208" s="6"/>
      <c r="Z208" s="6"/>
    </row>
    <row r="209" spans="25:26" ht="26.25">
      <c r="Y209" s="6"/>
      <c r="Z209" s="6"/>
    </row>
    <row r="210" spans="25:26" ht="26.25">
      <c r="Y210" s="6"/>
      <c r="Z210" s="6"/>
    </row>
    <row r="211" spans="25:26" ht="26.25">
      <c r="Y211" s="6"/>
      <c r="Z211" s="6"/>
    </row>
    <row r="212" spans="25:26" ht="26.25">
      <c r="Y212" s="6"/>
      <c r="Z212" s="6"/>
    </row>
    <row r="213" spans="25:26" ht="26.25">
      <c r="Y213" s="6"/>
      <c r="Z213" s="6"/>
    </row>
    <row r="214" spans="25:26" ht="26.25">
      <c r="Y214" s="6"/>
      <c r="Z214" s="6"/>
    </row>
    <row r="215" spans="25:26" ht="26.25">
      <c r="Y215" s="6"/>
      <c r="Z215" s="6"/>
    </row>
    <row r="216" spans="25:26" ht="26.25">
      <c r="Y216" s="6"/>
      <c r="Z216" s="6"/>
    </row>
    <row r="217" spans="25:26" ht="26.25">
      <c r="Y217" s="6"/>
      <c r="Z217" s="6"/>
    </row>
    <row r="218" spans="25:26" ht="26.25">
      <c r="Y218" s="6"/>
      <c r="Z218" s="6"/>
    </row>
    <row r="219" spans="25:26" ht="26.25">
      <c r="Y219" s="6"/>
      <c r="Z219" s="6"/>
    </row>
    <row r="220" spans="25:26" ht="26.25">
      <c r="Y220" s="6"/>
      <c r="Z220" s="6"/>
    </row>
    <row r="221" spans="25:26" ht="26.25">
      <c r="Y221" s="6"/>
      <c r="Z221" s="6"/>
    </row>
    <row r="222" spans="25:26" ht="26.25">
      <c r="Y222" s="6"/>
      <c r="Z222" s="6"/>
    </row>
    <row r="223" spans="25:26" ht="26.25">
      <c r="Y223" s="6"/>
      <c r="Z223" s="6"/>
    </row>
    <row r="224" spans="25:26" ht="26.25">
      <c r="Y224" s="6"/>
      <c r="Z224" s="6"/>
    </row>
    <row r="225" spans="25:26" ht="26.25">
      <c r="Y225" s="6"/>
      <c r="Z225" s="6"/>
    </row>
    <row r="226" spans="25:26" ht="26.25">
      <c r="Y226" s="6"/>
      <c r="Z226" s="6"/>
    </row>
    <row r="227" spans="25:26" ht="26.25">
      <c r="Y227" s="6"/>
      <c r="Z227" s="6"/>
    </row>
    <row r="228" spans="25:26" ht="26.25">
      <c r="Y228" s="6"/>
      <c r="Z228" s="6"/>
    </row>
    <row r="229" spans="25:26" ht="26.25">
      <c r="Y229" s="6"/>
      <c r="Z229" s="6"/>
    </row>
    <row r="230" spans="25:26" ht="26.25">
      <c r="Y230" s="6"/>
      <c r="Z230" s="6"/>
    </row>
    <row r="231" spans="25:26" ht="26.25">
      <c r="Y231" s="6"/>
      <c r="Z231" s="6"/>
    </row>
    <row r="232" spans="25:26" ht="26.25">
      <c r="Y232" s="6"/>
      <c r="Z232" s="6"/>
    </row>
    <row r="233" spans="25:26" ht="26.25">
      <c r="Y233" s="6"/>
      <c r="Z233" s="6"/>
    </row>
    <row r="234" spans="25:26" ht="26.25">
      <c r="Y234" s="6"/>
      <c r="Z234" s="6"/>
    </row>
    <row r="235" spans="25:26" ht="26.25">
      <c r="Y235" s="6"/>
      <c r="Z235" s="6"/>
    </row>
    <row r="236" spans="25:26" ht="26.25">
      <c r="Y236" s="6"/>
      <c r="Z236" s="6"/>
    </row>
    <row r="237" spans="25:26" ht="26.25">
      <c r="Y237" s="6"/>
      <c r="Z237" s="6"/>
    </row>
    <row r="238" spans="25:26" ht="26.25">
      <c r="Y238" s="6"/>
      <c r="Z238" s="6"/>
    </row>
    <row r="239" spans="25:26" ht="26.25">
      <c r="Y239" s="6"/>
      <c r="Z239" s="6"/>
    </row>
    <row r="240" spans="25:26" ht="26.25">
      <c r="Y240" s="6"/>
      <c r="Z240" s="6"/>
    </row>
    <row r="241" spans="25:26" ht="26.25">
      <c r="Y241" s="6"/>
      <c r="Z241" s="6"/>
    </row>
    <row r="242" spans="25:26" ht="26.25">
      <c r="Y242" s="6"/>
      <c r="Z242" s="6"/>
    </row>
    <row r="243" spans="25:26" ht="26.25">
      <c r="Y243" s="6"/>
      <c r="Z243" s="6"/>
    </row>
    <row r="244" spans="25:26" ht="26.25">
      <c r="Y244" s="6"/>
      <c r="Z244" s="6"/>
    </row>
    <row r="245" spans="25:26" ht="26.25">
      <c r="Y245" s="6"/>
      <c r="Z245" s="6"/>
    </row>
    <row r="246" spans="25:26" ht="26.25">
      <c r="Y246" s="6"/>
      <c r="Z246" s="6"/>
    </row>
    <row r="247" spans="25:26" ht="26.25">
      <c r="Y247" s="6"/>
      <c r="Z247" s="6"/>
    </row>
    <row r="248" spans="25:26" ht="26.25">
      <c r="Y248" s="6"/>
      <c r="Z248" s="6"/>
    </row>
    <row r="249" spans="25:26" ht="26.25">
      <c r="Y249" s="6"/>
      <c r="Z249" s="6"/>
    </row>
    <row r="250" spans="25:26" ht="26.25">
      <c r="Y250" s="6"/>
      <c r="Z250" s="6"/>
    </row>
    <row r="251" spans="25:26" ht="26.25">
      <c r="Y251" s="6"/>
      <c r="Z251" s="6"/>
    </row>
    <row r="252" spans="25:26" ht="26.25">
      <c r="Y252" s="6"/>
      <c r="Z252" s="6"/>
    </row>
    <row r="253" spans="25:26" ht="26.25">
      <c r="Y253" s="6"/>
      <c r="Z253" s="6"/>
    </row>
    <row r="254" spans="25:26" ht="26.25">
      <c r="Y254" s="6"/>
      <c r="Z254" s="6"/>
    </row>
    <row r="255" spans="25:26" ht="26.25">
      <c r="Y255" s="6"/>
      <c r="Z255" s="6"/>
    </row>
    <row r="256" spans="25:26" ht="26.25">
      <c r="Y256" s="6"/>
      <c r="Z256" s="6"/>
    </row>
    <row r="257" spans="25:26" ht="26.25">
      <c r="Y257" s="6"/>
      <c r="Z257" s="6"/>
    </row>
    <row r="258" spans="25:26" ht="26.25">
      <c r="Y258" s="6"/>
      <c r="Z258" s="6"/>
    </row>
    <row r="259" spans="25:26" ht="26.25">
      <c r="Y259" s="6"/>
      <c r="Z259" s="6"/>
    </row>
    <row r="260" spans="25:26" ht="26.25">
      <c r="Y260" s="6"/>
      <c r="Z260" s="6"/>
    </row>
    <row r="261" spans="25:26" ht="26.25">
      <c r="Y261" s="6"/>
      <c r="Z261" s="6"/>
    </row>
    <row r="262" spans="25:26" ht="26.25">
      <c r="Y262" s="6"/>
      <c r="Z262" s="6"/>
    </row>
    <row r="263" spans="25:26" ht="26.25">
      <c r="Y263" s="6"/>
      <c r="Z263" s="6"/>
    </row>
    <row r="264" spans="25:26" ht="26.25">
      <c r="Y264" s="6"/>
      <c r="Z264" s="6"/>
    </row>
    <row r="265" spans="25:26" ht="26.25">
      <c r="Y265" s="6"/>
      <c r="Z265" s="6"/>
    </row>
    <row r="266" spans="25:26" ht="26.25">
      <c r="Y266" s="6"/>
      <c r="Z266" s="6"/>
    </row>
    <row r="267" spans="25:26" ht="26.25">
      <c r="Y267" s="6"/>
      <c r="Z267" s="6"/>
    </row>
    <row r="268" spans="25:26" ht="26.25">
      <c r="Y268" s="6"/>
      <c r="Z268" s="6"/>
    </row>
    <row r="269" spans="25:26" ht="26.25">
      <c r="Y269" s="6"/>
      <c r="Z269" s="6"/>
    </row>
    <row r="270" spans="25:26" ht="26.25">
      <c r="Y270" s="6"/>
      <c r="Z270" s="6"/>
    </row>
    <row r="271" spans="25:26" ht="26.25">
      <c r="Y271" s="6"/>
      <c r="Z271" s="6"/>
    </row>
    <row r="272" spans="25:26" ht="26.25">
      <c r="Y272" s="6"/>
      <c r="Z272" s="6"/>
    </row>
    <row r="273" spans="25:26" ht="26.25">
      <c r="Y273" s="6"/>
      <c r="Z273" s="6"/>
    </row>
    <row r="274" spans="25:26" ht="26.25">
      <c r="Y274" s="6"/>
      <c r="Z274" s="6"/>
    </row>
    <row r="275" spans="25:26" ht="26.25">
      <c r="Y275" s="6"/>
      <c r="Z275" s="6"/>
    </row>
    <row r="276" spans="25:26" ht="26.25">
      <c r="Y276" s="6"/>
      <c r="Z276" s="6"/>
    </row>
    <row r="277" spans="25:26" ht="26.25">
      <c r="Y277" s="6"/>
      <c r="Z277" s="6"/>
    </row>
    <row r="278" spans="25:26" ht="26.25">
      <c r="Y278" s="6"/>
      <c r="Z278" s="6"/>
    </row>
    <row r="279" spans="25:26" ht="26.25">
      <c r="Y279" s="6"/>
      <c r="Z279" s="6"/>
    </row>
    <row r="280" spans="25:26" ht="26.25">
      <c r="Y280" s="6"/>
      <c r="Z280" s="6"/>
    </row>
    <row r="281" spans="25:26" ht="26.25">
      <c r="Y281" s="6"/>
      <c r="Z281" s="6"/>
    </row>
    <row r="282" spans="25:26" ht="26.25">
      <c r="Y282" s="6"/>
      <c r="Z282" s="6"/>
    </row>
    <row r="283" spans="25:26" ht="26.25">
      <c r="Y283" s="6"/>
      <c r="Z283" s="6"/>
    </row>
    <row r="284" spans="25:26" ht="26.25">
      <c r="Y284" s="6"/>
      <c r="Z284" s="6"/>
    </row>
    <row r="285" spans="25:26" ht="26.25">
      <c r="Y285" s="6"/>
      <c r="Z285" s="6"/>
    </row>
    <row r="286" spans="25:26" ht="26.25">
      <c r="Y286" s="6"/>
      <c r="Z286" s="6"/>
    </row>
    <row r="287" spans="25:26" ht="26.25">
      <c r="Y287" s="6"/>
      <c r="Z287" s="6"/>
    </row>
    <row r="288" spans="25:26" ht="26.25">
      <c r="Y288" s="6"/>
      <c r="Z288" s="6"/>
    </row>
    <row r="289" spans="25:26" ht="26.25">
      <c r="Y289" s="6"/>
      <c r="Z289" s="6"/>
    </row>
    <row r="290" spans="25:26" ht="26.25">
      <c r="Y290" s="6"/>
      <c r="Z290" s="6"/>
    </row>
    <row r="291" spans="25:26" ht="26.25">
      <c r="Y291" s="6"/>
      <c r="Z291" s="6"/>
    </row>
    <row r="292" spans="25:26" ht="26.25">
      <c r="Y292" s="6"/>
      <c r="Z292" s="6"/>
    </row>
    <row r="293" spans="25:26" ht="26.25">
      <c r="Y293" s="6"/>
      <c r="Z293" s="6"/>
    </row>
    <row r="294" spans="25:26" ht="26.25">
      <c r="Y294" s="6"/>
      <c r="Z294" s="6"/>
    </row>
    <row r="295" spans="25:26" ht="26.25">
      <c r="Y295" s="6"/>
      <c r="Z295" s="6"/>
    </row>
    <row r="296" spans="25:26" ht="26.25">
      <c r="Y296" s="6"/>
      <c r="Z296" s="6"/>
    </row>
    <row r="297" spans="25:26" ht="26.25">
      <c r="Y297" s="6"/>
      <c r="Z297" s="6"/>
    </row>
    <row r="298" spans="25:26" ht="26.25">
      <c r="Y298" s="6"/>
      <c r="Z298" s="6"/>
    </row>
    <row r="299" spans="25:26" ht="26.25">
      <c r="Y299" s="6"/>
      <c r="Z299" s="6"/>
    </row>
    <row r="300" spans="25:26" ht="26.25">
      <c r="Y300" s="6"/>
      <c r="Z300" s="6"/>
    </row>
    <row r="301" spans="25:26" ht="26.25">
      <c r="Y301" s="6"/>
      <c r="Z301" s="6"/>
    </row>
    <row r="302" spans="25:26" ht="26.25">
      <c r="Y302" s="6"/>
      <c r="Z302" s="6"/>
    </row>
    <row r="303" spans="25:26" ht="26.25">
      <c r="Y303" s="6"/>
      <c r="Z303" s="6"/>
    </row>
    <row r="304" spans="25:26" ht="26.25">
      <c r="Y304" s="6"/>
      <c r="Z304" s="6"/>
    </row>
    <row r="305" spans="25:26" ht="26.25">
      <c r="Y305" s="6"/>
      <c r="Z305" s="6"/>
    </row>
    <row r="306" spans="25:26" ht="26.25">
      <c r="Y306" s="6"/>
      <c r="Z306" s="6"/>
    </row>
    <row r="307" spans="25:26" ht="26.25">
      <c r="Y307" s="6"/>
      <c r="Z307" s="6"/>
    </row>
    <row r="308" spans="25:26" ht="26.25">
      <c r="Y308" s="6"/>
      <c r="Z308" s="6"/>
    </row>
    <row r="309" spans="25:26" ht="26.25">
      <c r="Y309" s="6"/>
      <c r="Z309" s="6"/>
    </row>
    <row r="310" spans="25:26" ht="26.25">
      <c r="Y310" s="6"/>
      <c r="Z310" s="6"/>
    </row>
    <row r="311" spans="25:26" ht="26.25">
      <c r="Y311" s="6"/>
      <c r="Z311" s="6"/>
    </row>
    <row r="312" spans="25:26" ht="26.25">
      <c r="Y312" s="6"/>
      <c r="Z312" s="6"/>
    </row>
    <row r="313" spans="25:26" ht="26.25">
      <c r="Y313" s="6"/>
      <c r="Z313" s="6"/>
    </row>
    <row r="314" spans="25:26" ht="26.25">
      <c r="Y314" s="6"/>
      <c r="Z314" s="6"/>
    </row>
    <row r="315" spans="25:26" ht="26.25">
      <c r="Y315" s="6"/>
      <c r="Z315" s="6"/>
    </row>
    <row r="316" spans="25:26" ht="26.25">
      <c r="Y316" s="6"/>
      <c r="Z316" s="6"/>
    </row>
    <row r="317" spans="25:26" ht="26.25">
      <c r="Y317" s="6"/>
      <c r="Z317" s="6"/>
    </row>
    <row r="318" spans="25:26" ht="26.25">
      <c r="Y318" s="6"/>
      <c r="Z318" s="6"/>
    </row>
    <row r="319" spans="25:26" ht="26.25">
      <c r="Y319" s="6"/>
      <c r="Z319" s="6"/>
    </row>
    <row r="320" spans="25:26" ht="26.25">
      <c r="Y320" s="6"/>
      <c r="Z320" s="6"/>
    </row>
    <row r="321" spans="25:26" ht="26.25">
      <c r="Y321" s="6"/>
      <c r="Z321" s="6"/>
    </row>
    <row r="322" spans="25:26" ht="26.25">
      <c r="Y322" s="6"/>
      <c r="Z322" s="6"/>
    </row>
    <row r="323" spans="25:26" ht="26.25">
      <c r="Y323" s="6"/>
      <c r="Z323" s="6"/>
    </row>
    <row r="324" spans="25:26" ht="26.25">
      <c r="Y324" s="6"/>
      <c r="Z324" s="6"/>
    </row>
    <row r="325" spans="25:26" ht="26.25">
      <c r="Y325" s="6"/>
      <c r="Z325" s="6"/>
    </row>
    <row r="326" spans="25:26" ht="26.25">
      <c r="Y326" s="6"/>
      <c r="Z326" s="6"/>
    </row>
    <row r="327" spans="25:26" ht="26.25">
      <c r="Y327" s="6"/>
      <c r="Z327" s="6"/>
    </row>
    <row r="328" spans="25:26" ht="26.25">
      <c r="Y328" s="6"/>
      <c r="Z328" s="6"/>
    </row>
    <row r="329" spans="25:26" ht="26.25">
      <c r="Y329" s="6"/>
      <c r="Z329" s="6"/>
    </row>
    <row r="330" spans="25:26" ht="26.25">
      <c r="Y330" s="6"/>
      <c r="Z330" s="6"/>
    </row>
    <row r="331" spans="25:26" ht="26.25">
      <c r="Y331" s="6"/>
      <c r="Z331" s="6"/>
    </row>
    <row r="332" spans="25:26" ht="26.25">
      <c r="Y332" s="6"/>
      <c r="Z332" s="6"/>
    </row>
    <row r="333" spans="25:26" ht="26.25">
      <c r="Y333" s="6"/>
      <c r="Z333" s="6"/>
    </row>
    <row r="334" spans="25:26" ht="26.25">
      <c r="Y334" s="6"/>
      <c r="Z334" s="6"/>
    </row>
    <row r="335" spans="25:26" ht="26.25">
      <c r="Y335" s="6"/>
      <c r="Z335" s="6"/>
    </row>
    <row r="336" spans="25:26" ht="26.25">
      <c r="Y336" s="6"/>
      <c r="Z336" s="6"/>
    </row>
    <row r="337" spans="25:26" ht="26.25">
      <c r="Y337" s="6"/>
      <c r="Z337" s="6"/>
    </row>
    <row r="338" spans="25:26" ht="26.25">
      <c r="Y338" s="6"/>
      <c r="Z338" s="6"/>
    </row>
    <row r="339" spans="25:26" ht="26.25">
      <c r="Y339" s="6"/>
      <c r="Z339" s="6"/>
    </row>
    <row r="340" spans="25:26" ht="26.25">
      <c r="Y340" s="6"/>
      <c r="Z340" s="6"/>
    </row>
    <row r="341" spans="25:26" ht="26.25">
      <c r="Y341" s="6"/>
      <c r="Z341" s="6"/>
    </row>
    <row r="342" spans="25:26" ht="26.25">
      <c r="Y342" s="6"/>
      <c r="Z342" s="6"/>
    </row>
    <row r="343" spans="25:26" ht="26.25">
      <c r="Y343" s="6"/>
      <c r="Z343" s="6"/>
    </row>
    <row r="344" spans="25:26" ht="26.25">
      <c r="Y344" s="6"/>
      <c r="Z344" s="6"/>
    </row>
    <row r="345" spans="25:26" ht="26.25">
      <c r="Y345" s="6"/>
      <c r="Z345" s="6"/>
    </row>
    <row r="346" spans="25:26" ht="26.25">
      <c r="Y346" s="6"/>
      <c r="Z346" s="6"/>
    </row>
    <row r="347" spans="25:26" ht="26.25">
      <c r="Y347" s="6"/>
      <c r="Z347" s="6"/>
    </row>
    <row r="348" spans="25:26" ht="26.25">
      <c r="Y348" s="6"/>
      <c r="Z348" s="6"/>
    </row>
    <row r="349" spans="25:26" ht="26.25">
      <c r="Y349" s="6"/>
      <c r="Z349" s="6"/>
    </row>
    <row r="350" spans="25:26" ht="26.25">
      <c r="Y350" s="6"/>
      <c r="Z350" s="6"/>
    </row>
    <row r="351" spans="25:26" ht="26.25">
      <c r="Y351" s="6"/>
      <c r="Z351" s="6"/>
    </row>
    <row r="352" spans="25:26" ht="26.25">
      <c r="Y352" s="6"/>
      <c r="Z352" s="6"/>
    </row>
    <row r="353" spans="25:26" ht="26.25">
      <c r="Y353" s="6"/>
      <c r="Z353" s="6"/>
    </row>
    <row r="354" spans="25:26" ht="26.25">
      <c r="Y354" s="6"/>
      <c r="Z354" s="6"/>
    </row>
    <row r="355" spans="25:26" ht="26.25">
      <c r="Y355" s="6"/>
      <c r="Z355" s="6"/>
    </row>
    <row r="356" spans="25:26" ht="26.25">
      <c r="Y356" s="6"/>
      <c r="Z356" s="6"/>
    </row>
    <row r="357" spans="25:26" ht="26.25">
      <c r="Y357" s="6"/>
      <c r="Z357" s="6"/>
    </row>
    <row r="358" spans="25:26" ht="26.25">
      <c r="Y358" s="6"/>
      <c r="Z358" s="6"/>
    </row>
    <row r="359" spans="25:26" ht="26.25">
      <c r="Y359" s="6"/>
      <c r="Z359" s="6"/>
    </row>
    <row r="360" spans="25:26" ht="26.25">
      <c r="Y360" s="6"/>
      <c r="Z360" s="6"/>
    </row>
    <row r="361" spans="25:26" ht="26.25">
      <c r="Y361" s="6"/>
      <c r="Z361" s="6"/>
    </row>
    <row r="362" spans="25:26" ht="26.25">
      <c r="Y362" s="6"/>
      <c r="Z362" s="6"/>
    </row>
    <row r="363" spans="25:26" ht="26.25">
      <c r="Y363" s="6"/>
      <c r="Z363" s="6"/>
    </row>
    <row r="364" spans="25:26" ht="26.25">
      <c r="Y364" s="6"/>
      <c r="Z364" s="6"/>
    </row>
    <row r="365" spans="25:26" ht="26.25">
      <c r="Y365" s="6"/>
      <c r="Z365" s="6"/>
    </row>
    <row r="366" spans="25:26" ht="26.25">
      <c r="Y366" s="6"/>
      <c r="Z366" s="6"/>
    </row>
    <row r="367" spans="25:26" ht="26.25">
      <c r="Y367" s="6"/>
      <c r="Z367" s="6"/>
    </row>
    <row r="368" spans="25:26" ht="26.25">
      <c r="Y368" s="6"/>
      <c r="Z368" s="6"/>
    </row>
    <row r="369" spans="25:26" ht="26.25">
      <c r="Y369" s="6"/>
      <c r="Z369" s="6"/>
    </row>
    <row r="370" spans="25:26" ht="26.25">
      <c r="Y370" s="6"/>
      <c r="Z370" s="6"/>
    </row>
    <row r="371" spans="25:26" ht="26.25">
      <c r="Y371" s="6"/>
      <c r="Z371" s="6"/>
    </row>
    <row r="372" spans="25:26" ht="26.25">
      <c r="Y372" s="6"/>
      <c r="Z372" s="6"/>
    </row>
    <row r="373" spans="25:26" ht="26.25">
      <c r="Y373" s="6"/>
      <c r="Z373" s="6"/>
    </row>
    <row r="374" spans="25:26" ht="26.25">
      <c r="Y374" s="6"/>
      <c r="Z374" s="6"/>
    </row>
    <row r="375" spans="25:26" ht="26.25">
      <c r="Y375" s="6"/>
      <c r="Z375" s="6"/>
    </row>
    <row r="376" spans="25:26" ht="26.25">
      <c r="Y376" s="6"/>
      <c r="Z376" s="6"/>
    </row>
    <row r="377" spans="25:26" ht="26.25">
      <c r="Y377" s="6"/>
      <c r="Z377" s="6"/>
    </row>
    <row r="378" spans="25:26" ht="26.25">
      <c r="Y378" s="6"/>
      <c r="Z378" s="6"/>
    </row>
    <row r="379" spans="25:26" ht="26.25">
      <c r="Y379" s="6"/>
      <c r="Z379" s="6"/>
    </row>
    <row r="380" spans="25:26" ht="26.25">
      <c r="Y380" s="6"/>
      <c r="Z380" s="6"/>
    </row>
    <row r="381" spans="25:26" ht="26.25">
      <c r="Y381" s="6"/>
      <c r="Z381" s="6"/>
    </row>
    <row r="382" spans="25:26" ht="26.25">
      <c r="Y382" s="6"/>
      <c r="Z382" s="6"/>
    </row>
    <row r="383" spans="25:26" ht="26.25">
      <c r="Y383" s="6"/>
      <c r="Z383" s="6"/>
    </row>
    <row r="384" spans="25:26" ht="26.25">
      <c r="Y384" s="6"/>
      <c r="Z384" s="6"/>
    </row>
    <row r="385" spans="25:26" ht="26.25">
      <c r="Y385" s="6"/>
      <c r="Z385" s="6"/>
    </row>
    <row r="386" spans="25:26" ht="26.25">
      <c r="Y386" s="6"/>
      <c r="Z386" s="6"/>
    </row>
    <row r="387" spans="25:26" ht="26.25">
      <c r="Y387" s="6"/>
      <c r="Z387" s="6"/>
    </row>
    <row r="388" spans="25:26" ht="26.25">
      <c r="Y388" s="6"/>
      <c r="Z388" s="6"/>
    </row>
    <row r="389" spans="25:26" ht="26.25">
      <c r="Y389" s="6"/>
      <c r="Z389" s="6"/>
    </row>
    <row r="390" spans="25:26" ht="26.25">
      <c r="Y390" s="6"/>
      <c r="Z390" s="6"/>
    </row>
    <row r="391" spans="25:26" ht="26.25">
      <c r="Y391" s="6"/>
      <c r="Z391" s="6"/>
    </row>
    <row r="392" spans="25:26" ht="26.25">
      <c r="Y392" s="6"/>
      <c r="Z392" s="6"/>
    </row>
    <row r="393" spans="25:26" ht="26.25">
      <c r="Y393" s="6"/>
      <c r="Z393" s="6"/>
    </row>
    <row r="394" spans="25:26" ht="26.25">
      <c r="Y394" s="6"/>
      <c r="Z394" s="6"/>
    </row>
    <row r="395" spans="25:26" ht="26.25">
      <c r="Y395" s="6"/>
      <c r="Z395" s="6"/>
    </row>
    <row r="396" spans="25:26" ht="26.25">
      <c r="Y396" s="6"/>
      <c r="Z396" s="6"/>
    </row>
    <row r="397" spans="25:26" ht="26.25">
      <c r="Y397" s="6"/>
      <c r="Z397" s="6"/>
    </row>
    <row r="398" spans="25:26" ht="26.25">
      <c r="Y398" s="6"/>
      <c r="Z398" s="6"/>
    </row>
    <row r="399" spans="25:26" ht="26.25">
      <c r="Y399" s="6"/>
      <c r="Z399" s="6"/>
    </row>
    <row r="400" spans="25:26" ht="26.25">
      <c r="Y400" s="6"/>
      <c r="Z400" s="6"/>
    </row>
    <row r="401" spans="25:26" ht="26.25">
      <c r="Y401" s="6"/>
      <c r="Z401" s="6"/>
    </row>
    <row r="402" spans="25:26" ht="26.25">
      <c r="Y402" s="6"/>
      <c r="Z402" s="6"/>
    </row>
    <row r="403" spans="25:26" ht="26.25">
      <c r="Y403" s="6"/>
      <c r="Z403" s="6"/>
    </row>
    <row r="404" spans="25:26" ht="26.25">
      <c r="Y404" s="6"/>
      <c r="Z404" s="6"/>
    </row>
    <row r="405" spans="25:26" ht="26.25">
      <c r="Y405" s="6"/>
      <c r="Z405" s="6"/>
    </row>
    <row r="406" spans="25:26" ht="26.25">
      <c r="Y406" s="6"/>
      <c r="Z406" s="6"/>
    </row>
    <row r="407" spans="25:26" ht="26.25">
      <c r="Y407" s="6"/>
      <c r="Z407" s="6"/>
    </row>
    <row r="408" spans="25:26" ht="26.25">
      <c r="Y408" s="6"/>
      <c r="Z408" s="6"/>
    </row>
    <row r="409" spans="25:26" ht="26.25">
      <c r="Y409" s="6"/>
      <c r="Z409" s="6"/>
    </row>
    <row r="410" spans="25:26" ht="26.25">
      <c r="Y410" s="6"/>
      <c r="Z410" s="6"/>
    </row>
    <row r="411" spans="25:26" ht="26.25">
      <c r="Y411" s="6"/>
      <c r="Z411" s="6"/>
    </row>
    <row r="412" spans="25:26" ht="26.25">
      <c r="Y412" s="6"/>
      <c r="Z412" s="6"/>
    </row>
    <row r="413" spans="25:26" ht="26.25">
      <c r="Y413" s="6"/>
      <c r="Z413" s="6"/>
    </row>
    <row r="414" spans="25:26" ht="26.25">
      <c r="Y414" s="6"/>
      <c r="Z414" s="6"/>
    </row>
    <row r="415" spans="25:26" ht="26.25">
      <c r="Y415" s="6"/>
      <c r="Z415" s="6"/>
    </row>
    <row r="416" spans="25:26" ht="26.25">
      <c r="Y416" s="6"/>
      <c r="Z416" s="6"/>
    </row>
    <row r="417" spans="25:26" ht="26.25">
      <c r="Y417" s="6"/>
      <c r="Z417" s="6"/>
    </row>
    <row r="418" spans="25:26" ht="26.25">
      <c r="Y418" s="6"/>
      <c r="Z418" s="6"/>
    </row>
    <row r="419" spans="25:26" ht="26.25">
      <c r="Y419" s="6"/>
      <c r="Z419" s="6"/>
    </row>
    <row r="420" spans="25:26" ht="26.25">
      <c r="Y420" s="6"/>
      <c r="Z420" s="6"/>
    </row>
    <row r="421" spans="25:26" ht="26.25">
      <c r="Y421" s="6"/>
      <c r="Z421" s="6"/>
    </row>
    <row r="422" spans="25:26" ht="26.25">
      <c r="Y422" s="6"/>
      <c r="Z422" s="6"/>
    </row>
    <row r="423" spans="25:26" ht="26.25">
      <c r="Y423" s="6"/>
      <c r="Z423" s="6"/>
    </row>
    <row r="424" spans="25:26" ht="26.25">
      <c r="Y424" s="6"/>
      <c r="Z424" s="6"/>
    </row>
    <row r="425" spans="25:26" ht="26.25">
      <c r="Y425" s="6"/>
      <c r="Z425" s="6"/>
    </row>
    <row r="426" spans="25:26" ht="26.25">
      <c r="Y426" s="6"/>
      <c r="Z426" s="6"/>
    </row>
    <row r="427" spans="25:26" ht="26.25">
      <c r="Y427" s="6"/>
      <c r="Z427" s="6"/>
    </row>
    <row r="428" spans="25:26" ht="26.25">
      <c r="Y428" s="6"/>
      <c r="Z428" s="6"/>
    </row>
    <row r="429" spans="25:26" ht="26.25">
      <c r="Y429" s="6"/>
      <c r="Z429" s="6"/>
    </row>
    <row r="430" spans="25:26" ht="26.25">
      <c r="Y430" s="6"/>
      <c r="Z430" s="6"/>
    </row>
    <row r="431" spans="25:26" ht="26.25">
      <c r="Y431" s="6"/>
      <c r="Z431" s="6"/>
    </row>
    <row r="432" spans="25:26" ht="26.25">
      <c r="Y432" s="6"/>
      <c r="Z432" s="6"/>
    </row>
    <row r="433" spans="25:26" ht="26.25">
      <c r="Y433" s="6"/>
      <c r="Z433" s="6"/>
    </row>
    <row r="434" spans="25:26" ht="26.25">
      <c r="Y434" s="6"/>
      <c r="Z434" s="6"/>
    </row>
    <row r="435" spans="25:26" ht="26.25">
      <c r="Y435" s="6"/>
      <c r="Z435" s="6"/>
    </row>
    <row r="436" spans="25:26" ht="26.25">
      <c r="Y436" s="6"/>
      <c r="Z436" s="6"/>
    </row>
    <row r="437" spans="25:26" ht="26.25">
      <c r="Y437" s="6"/>
      <c r="Z437" s="6"/>
    </row>
    <row r="438" spans="25:26" ht="26.25">
      <c r="Y438" s="6"/>
      <c r="Z438" s="6"/>
    </row>
    <row r="439" spans="25:26" ht="26.25">
      <c r="Y439" s="6"/>
      <c r="Z439" s="6"/>
    </row>
    <row r="440" spans="25:26" ht="26.25">
      <c r="Y440" s="6"/>
      <c r="Z440" s="6"/>
    </row>
    <row r="441" spans="25:26" ht="26.25">
      <c r="Y441" s="6"/>
      <c r="Z441" s="6"/>
    </row>
    <row r="442" spans="25:26" ht="26.25">
      <c r="Y442" s="6"/>
      <c r="Z442" s="6"/>
    </row>
    <row r="443" spans="25:26" ht="26.25">
      <c r="Y443" s="6"/>
      <c r="Z443" s="6"/>
    </row>
    <row r="444" spans="25:26" ht="26.25">
      <c r="Y444" s="6"/>
      <c r="Z444" s="6"/>
    </row>
    <row r="445" spans="25:26" ht="26.25">
      <c r="Y445" s="6"/>
      <c r="Z445" s="6"/>
    </row>
    <row r="446" spans="25:26" ht="26.25">
      <c r="Y446" s="6"/>
      <c r="Z446" s="6"/>
    </row>
    <row r="447" spans="25:26" ht="26.25">
      <c r="Y447" s="6"/>
      <c r="Z447" s="6"/>
    </row>
    <row r="448" spans="25:26" ht="26.25">
      <c r="Y448" s="6"/>
      <c r="Z448" s="6"/>
    </row>
    <row r="449" spans="25:26" ht="26.25">
      <c r="Y449" s="6"/>
      <c r="Z449" s="6"/>
    </row>
    <row r="450" spans="25:26" ht="26.25">
      <c r="Y450" s="6"/>
      <c r="Z450" s="6"/>
    </row>
    <row r="451" spans="25:26" ht="26.25">
      <c r="Y451" s="6"/>
      <c r="Z451" s="6"/>
    </row>
    <row r="452" spans="25:26" ht="26.25">
      <c r="Y452" s="6"/>
      <c r="Z452" s="6"/>
    </row>
    <row r="453" spans="25:26" ht="26.25">
      <c r="Y453" s="6"/>
      <c r="Z453" s="6"/>
    </row>
    <row r="454" spans="25:26" ht="26.25">
      <c r="Y454" s="6"/>
      <c r="Z454" s="6"/>
    </row>
    <row r="455" spans="25:26" ht="26.25">
      <c r="Y455" s="6"/>
      <c r="Z455" s="6"/>
    </row>
    <row r="456" spans="25:26" ht="26.25">
      <c r="Y456" s="6"/>
      <c r="Z456" s="6"/>
    </row>
    <row r="457" spans="25:26" ht="26.25">
      <c r="Y457" s="6"/>
      <c r="Z457" s="6"/>
    </row>
    <row r="458" spans="25:26" ht="26.25">
      <c r="Y458" s="6"/>
      <c r="Z458" s="6"/>
    </row>
    <row r="459" spans="25:26" ht="26.25">
      <c r="Y459" s="6"/>
      <c r="Z459" s="6"/>
    </row>
    <row r="460" spans="25:26" ht="26.25">
      <c r="Y460" s="6"/>
      <c r="Z460" s="6"/>
    </row>
    <row r="461" spans="25:26" ht="26.25">
      <c r="Y461" s="6"/>
      <c r="Z461" s="6"/>
    </row>
    <row r="462" spans="25:26" ht="26.25">
      <c r="Y462" s="6"/>
      <c r="Z462" s="6"/>
    </row>
    <row r="463" spans="25:26" ht="26.25">
      <c r="Y463" s="6"/>
      <c r="Z463" s="6"/>
    </row>
    <row r="464" spans="25:26" ht="26.25">
      <c r="Y464" s="6"/>
      <c r="Z464" s="6"/>
    </row>
    <row r="465" spans="25:26" ht="26.25">
      <c r="Y465" s="6"/>
      <c r="Z465" s="6"/>
    </row>
    <row r="466" spans="25:26" ht="26.25">
      <c r="Y466" s="6"/>
      <c r="Z466" s="6"/>
    </row>
    <row r="467" spans="25:26" ht="26.25">
      <c r="Y467" s="6"/>
      <c r="Z467" s="6"/>
    </row>
    <row r="468" spans="25:26" ht="26.25">
      <c r="Y468" s="6"/>
      <c r="Z468" s="6"/>
    </row>
    <row r="469" spans="25:26" ht="26.25">
      <c r="Y469" s="6"/>
      <c r="Z469" s="6"/>
    </row>
    <row r="470" spans="25:26" ht="26.25">
      <c r="Y470" s="6"/>
      <c r="Z470" s="6"/>
    </row>
    <row r="471" spans="25:26" ht="26.25">
      <c r="Y471" s="6"/>
      <c r="Z471" s="6"/>
    </row>
    <row r="472" spans="25:26" ht="26.25">
      <c r="Y472" s="6"/>
      <c r="Z472" s="6"/>
    </row>
    <row r="473" spans="25:26" ht="26.25">
      <c r="Y473" s="6"/>
      <c r="Z473" s="6"/>
    </row>
    <row r="474" spans="25:26" ht="26.25">
      <c r="Y474" s="6"/>
      <c r="Z474" s="6"/>
    </row>
    <row r="475" spans="25:26" ht="26.25">
      <c r="Y475" s="6"/>
      <c r="Z475" s="6"/>
    </row>
    <row r="476" spans="25:26" ht="26.25">
      <c r="Y476" s="6"/>
      <c r="Z476" s="6"/>
    </row>
    <row r="477" spans="25:26" ht="26.25">
      <c r="Y477" s="6"/>
      <c r="Z477" s="6"/>
    </row>
    <row r="478" spans="25:26" ht="26.25">
      <c r="Y478" s="6"/>
      <c r="Z478" s="6"/>
    </row>
    <row r="479" spans="25:26" ht="26.25">
      <c r="Y479" s="6"/>
      <c r="Z479" s="6"/>
    </row>
    <row r="480" spans="25:26" ht="26.25">
      <c r="Y480" s="6"/>
      <c r="Z480" s="6"/>
    </row>
    <row r="481" spans="25:26" ht="26.25">
      <c r="Y481" s="6"/>
      <c r="Z481" s="6"/>
    </row>
    <row r="482" spans="25:26" ht="26.25">
      <c r="Y482" s="6"/>
      <c r="Z482" s="6"/>
    </row>
    <row r="483" spans="25:26" ht="26.25">
      <c r="Y483" s="6"/>
      <c r="Z483" s="6"/>
    </row>
    <row r="484" spans="25:26" ht="26.25">
      <c r="Y484" s="6"/>
      <c r="Z484" s="6"/>
    </row>
    <row r="485" spans="25:26" ht="26.25">
      <c r="Y485" s="6"/>
      <c r="Z485" s="6"/>
    </row>
    <row r="486" spans="25:26" ht="26.25">
      <c r="Y486" s="6"/>
      <c r="Z486" s="6"/>
    </row>
    <row r="487" spans="25:26" ht="26.25">
      <c r="Y487" s="6"/>
      <c r="Z487" s="6"/>
    </row>
    <row r="488" spans="25:26" ht="26.25">
      <c r="Y488" s="6"/>
      <c r="Z488" s="6"/>
    </row>
    <row r="489" spans="25:26" ht="26.25">
      <c r="Y489" s="6"/>
      <c r="Z489" s="6"/>
    </row>
    <row r="490" spans="25:26" ht="26.25">
      <c r="Y490" s="6"/>
      <c r="Z490" s="6"/>
    </row>
    <row r="491" spans="25:26" ht="26.25">
      <c r="Y491" s="6"/>
      <c r="Z491" s="6"/>
    </row>
    <row r="492" spans="25:26" ht="26.25">
      <c r="Y492" s="6"/>
      <c r="Z492" s="6"/>
    </row>
    <row r="493" spans="25:26" ht="26.25">
      <c r="Y493" s="6"/>
      <c r="Z493" s="6"/>
    </row>
    <row r="494" spans="25:26" ht="26.25">
      <c r="Y494" s="6"/>
      <c r="Z494" s="6"/>
    </row>
    <row r="495" spans="25:26" ht="26.25">
      <c r="Y495" s="6"/>
      <c r="Z495" s="6"/>
    </row>
    <row r="496" spans="25:26" ht="26.25">
      <c r="Y496" s="6"/>
      <c r="Z496" s="6"/>
    </row>
    <row r="497" spans="25:26" ht="26.25">
      <c r="Y497" s="6"/>
      <c r="Z497" s="6"/>
    </row>
    <row r="498" spans="25:26" ht="26.25">
      <c r="Y498" s="6"/>
      <c r="Z498" s="6"/>
    </row>
    <row r="499" spans="25:26" ht="26.25">
      <c r="Y499" s="6"/>
      <c r="Z499" s="6"/>
    </row>
    <row r="500" spans="25:26" ht="26.25">
      <c r="Y500" s="6"/>
      <c r="Z500" s="6"/>
    </row>
    <row r="501" spans="25:26" ht="26.25">
      <c r="Y501" s="6"/>
      <c r="Z501" s="6"/>
    </row>
    <row r="502" spans="25:26" ht="26.25">
      <c r="Y502" s="6"/>
      <c r="Z502" s="6"/>
    </row>
    <row r="503" spans="25:26" ht="26.25">
      <c r="Y503" s="6"/>
      <c r="Z503" s="6"/>
    </row>
    <row r="504" spans="25:26" ht="26.25">
      <c r="Y504" s="6"/>
      <c r="Z504" s="6"/>
    </row>
    <row r="505" spans="25:26" ht="26.25">
      <c r="Y505" s="6"/>
      <c r="Z505" s="6"/>
    </row>
  </sheetData>
  <sheetProtection/>
  <mergeCells count="17">
    <mergeCell ref="A1:AP1"/>
    <mergeCell ref="A2:AP2"/>
    <mergeCell ref="A4:A5"/>
    <mergeCell ref="B4:B5"/>
    <mergeCell ref="C4:C5"/>
    <mergeCell ref="D4:I4"/>
    <mergeCell ref="K4:P4"/>
    <mergeCell ref="R4:W4"/>
    <mergeCell ref="Y4:AE4"/>
    <mergeCell ref="AF4:AL4"/>
    <mergeCell ref="BA49:BE49"/>
    <mergeCell ref="AM4:AS4"/>
    <mergeCell ref="AT4:AZ4"/>
    <mergeCell ref="B49:E49"/>
    <mergeCell ref="U49:V49"/>
    <mergeCell ref="AT49:AW49"/>
    <mergeCell ref="AY49:AZ49"/>
  </mergeCells>
  <printOptions/>
  <pageMargins left="0" right="0" top="0" bottom="0" header="0" footer="0"/>
  <pageSetup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piskarev</dc:creator>
  <cp:keywords/>
  <dc:description/>
  <cp:lastModifiedBy>SamLab.ws</cp:lastModifiedBy>
  <cp:lastPrinted>2015-01-21T06:29:07Z</cp:lastPrinted>
  <dcterms:created xsi:type="dcterms:W3CDTF">2009-08-24T08:26:50Z</dcterms:created>
  <dcterms:modified xsi:type="dcterms:W3CDTF">2015-01-21T07:59:13Z</dcterms:modified>
  <cp:category/>
  <cp:version/>
  <cp:contentType/>
  <cp:contentStatus/>
</cp:coreProperties>
</file>