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5505" activeTab="1"/>
  </bookViews>
  <sheets>
    <sheet name="ПОСТАВЩИК" sheetId="1" r:id="rId1"/>
    <sheet name="население" sheetId="2" r:id="rId2"/>
    <sheet name="тариф и РС" sheetId="3" state="hidden" r:id="rId3"/>
    <sheet name="Лист1" sheetId="4" r:id="rId4"/>
  </sheets>
  <definedNames>
    <definedName name="_xlnm.Print_Area" localSheetId="1">'население'!$A$1:$Q$92</definedName>
    <definedName name="_xlnm.Print_Area" localSheetId="0">'ПОСТАВЩИК'!$A$1:$R$93</definedName>
    <definedName name="_xlnm.Print_Area" localSheetId="2">'тариф и РС'!$A$1:$P$94</definedName>
  </definedNames>
  <calcPr fullCalcOnLoad="1"/>
</workbook>
</file>

<file path=xl/sharedStrings.xml><?xml version="1.0" encoding="utf-8"?>
<sst xmlns="http://schemas.openxmlformats.org/spreadsheetml/2006/main" count="353" uniqueCount="59">
  <si>
    <t>ИТОГО</t>
  </si>
  <si>
    <t>Теплоснабжение</t>
  </si>
  <si>
    <t>ОАО "Красные ткачи"</t>
  </si>
  <si>
    <t>ЯДГС ЯО СЖД Филиала       ОАО "РЖД"</t>
  </si>
  <si>
    <t>ОАО ЖКХ "Заволжье".</t>
  </si>
  <si>
    <t>ЗАО "Пансионат отдыха "Ярославль"</t>
  </si>
  <si>
    <t>ООО "Русэнергосбыт"</t>
  </si>
  <si>
    <t>ОАО "ЯСК"</t>
  </si>
  <si>
    <t>ОАО "ТГК-2"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</si>
  <si>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</si>
  <si>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</si>
  <si>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</si>
  <si>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</si>
  <si>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</si>
  <si>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</si>
  <si>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</si>
  <si>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</si>
  <si>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</si>
  <si>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</si>
  <si>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</si>
  <si>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</si>
  <si>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ГВС</t>
  </si>
  <si>
    <t>ОАО ЖКХ "Заволжье"</t>
  </si>
  <si>
    <t>ЗАО "Пансионат отдыха  "Ярославль"</t>
  </si>
  <si>
    <t>ХВС</t>
  </si>
  <si>
    <t>ФГОУ СПО "ЯАПК"</t>
  </si>
  <si>
    <t>СТОКИ</t>
  </si>
  <si>
    <t>ОАО ЖКХ "Заволжье" (транспортировка)</t>
  </si>
  <si>
    <t>ФГОУ СПО "ЯАПК"9,88</t>
  </si>
  <si>
    <t>тариф</t>
  </si>
  <si>
    <t>ОАО Санаторий "Красный холм"</t>
  </si>
  <si>
    <t>ОАО Санаторий "Красный Холм"</t>
  </si>
  <si>
    <t>ОАО "Славнефть"                     (с транспортировкой            ОАО ЖКХ "Заволжье")</t>
  </si>
  <si>
    <t>ОАО "Яркоммунсервис" (Спасское)</t>
  </si>
  <si>
    <t>ОАО "Яркоммунсервис" (Туношна)</t>
  </si>
  <si>
    <t>ОАО "Ярославльводоканал" (с транспортировкой ОАО ЖКХ "Заволжье")</t>
  </si>
  <si>
    <t>ОАО "Ярославльводоканал"(с транспортировкой ОАО ЖКХ "Заволжье")</t>
  </si>
  <si>
    <t>ООО "УПТК "ТПС"по сетям Яргорэнергосбыт</t>
  </si>
  <si>
    <t>ООО "УПТК "ТПС"по сетям Заволжья</t>
  </si>
  <si>
    <t>ООО "БизнесПродуктГруппа"</t>
  </si>
  <si>
    <t>Гкал</t>
  </si>
  <si>
    <t>руб</t>
  </si>
  <si>
    <t>Сведения о покупке и реализации услуг для населения Ярославского муниципального района</t>
  </si>
  <si>
    <t>Объем и стоимость услуг выставленные поставщиком</t>
  </si>
  <si>
    <r>
      <t>м</t>
    </r>
    <r>
      <rPr>
        <sz val="8"/>
        <rFont val="Times New Roman"/>
        <family val="1"/>
      </rPr>
      <t>³</t>
    </r>
  </si>
  <si>
    <t>ОАО "Красные ткачи"(с транспортировкой ОАО ЖКХ "Заволжье"</t>
  </si>
  <si>
    <t>ООО "БизнесПродуктГруппа"(с транспортировкой ОАО ЖКХ "Заволжье")</t>
  </si>
  <si>
    <t>ОАО Санаторий "Красный Холм"(с транспортировкой ОАО ЖКХ "Заволжье")</t>
  </si>
  <si>
    <t>ОАО "ТГК-2"(с транспортировкой ОАО ЖКХ "Заволжье")</t>
  </si>
  <si>
    <t>ООО "УПТК "ТПС"по сетям МПУ "Яргорэнергосбыт"</t>
  </si>
  <si>
    <t>ООО "УПТК "ТПС"по сетям МПУ "Яргорэнергосбыт"и ОАО ЖКХ "Заволжье"</t>
  </si>
  <si>
    <t>ГОУ СПО "ЯАПК"</t>
  </si>
  <si>
    <t>тариф 1 полуг</t>
  </si>
  <si>
    <t>тариф 2 полуг</t>
  </si>
  <si>
    <r>
      <t>м</t>
    </r>
    <r>
      <rPr>
        <b/>
        <sz val="8"/>
        <rFont val="Times New Roman"/>
        <family val="1"/>
      </rPr>
      <t>³</t>
    </r>
  </si>
  <si>
    <t>ОАО "ЖКХ "Заволжье" (ОАО "Ярославльводоканал" с транспортировкой ОАО ЖКХ "Заволжье")</t>
  </si>
  <si>
    <t>ОАО "ЖКХ "Заволжье" (ОАО "Славнефть" с транспортировкой ОАО "ЖКХ "Заволжье")</t>
  </si>
  <si>
    <r>
      <t xml:space="preserve">за 2013 года  </t>
    </r>
    <r>
      <rPr>
        <u val="single"/>
        <sz val="16"/>
        <rFont val="Arial Cyr"/>
        <family val="0"/>
      </rPr>
      <t>по ЗАО "ЯРУ "ЖКХ"</t>
    </r>
  </si>
  <si>
    <t>Объем и стоимость услуг выставленные населению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</si>
</sst>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_р_."/>
    <numFmt numFmtId="183" formatCode="0.000"/>
    <numFmt numFmtId="184" formatCode="0.00000"/>
    <numFmt numFmtId="185" formatCode="#,##0.00000"/>
    <numFmt numFmtId="186" formatCode="0.0000"/>
    <numFmt numFmtId="187" formatCode="#,##0.0"/>
    <numFmt numFmtId="188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6"/>
      <name val="Arial Cyr"/>
      <family val="0"/>
    </font>
    <font>
      <u val="single"/>
      <sz val="16"/>
      <name val="Arial Cyr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3" fillId="33" borderId="18" xfId="0" applyFont="1" applyFill="1" applyBorder="1" applyAlignment="1">
      <alignment wrapText="1"/>
    </xf>
    <xf numFmtId="4" fontId="4" fillId="0" borderId="17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80" fontId="3" fillId="33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34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3" fillId="34" borderId="22" xfId="0" applyNumberFormat="1" applyFont="1" applyFill="1" applyBorder="1" applyAlignment="1">
      <alignment/>
    </xf>
    <xf numFmtId="180" fontId="4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180" fontId="3" fillId="34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0" fontId="3" fillId="0" borderId="25" xfId="0" applyNumberFormat="1" applyFont="1" applyFill="1" applyBorder="1" applyAlignment="1">
      <alignment/>
    </xf>
    <xf numFmtId="180" fontId="3" fillId="0" borderId="26" xfId="0" applyNumberFormat="1" applyFont="1" applyFill="1" applyBorder="1" applyAlignment="1">
      <alignment/>
    </xf>
    <xf numFmtId="180" fontId="3" fillId="0" borderId="27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2" fontId="4" fillId="0" borderId="14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3" fillId="34" borderId="31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85" fontId="4" fillId="0" borderId="13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0" xfId="0" applyNumberFormat="1" applyAlignment="1">
      <alignment/>
    </xf>
    <xf numFmtId="184" fontId="3" fillId="0" borderId="26" xfId="0" applyNumberFormat="1" applyFont="1" applyFill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0" xfId="0" applyNumberFormat="1" applyAlignment="1">
      <alignment/>
    </xf>
    <xf numFmtId="184" fontId="3" fillId="0" borderId="12" xfId="0" applyNumberFormat="1" applyFont="1" applyFill="1" applyBorder="1" applyAlignment="1">
      <alignment/>
    </xf>
    <xf numFmtId="184" fontId="4" fillId="0" borderId="2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84" fontId="3" fillId="0" borderId="12" xfId="0" applyNumberFormat="1" applyFont="1" applyFill="1" applyBorder="1" applyAlignment="1">
      <alignment/>
    </xf>
    <xf numFmtId="181" fontId="4" fillId="0" borderId="1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" fontId="3" fillId="35" borderId="34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2" fillId="33" borderId="3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37" borderId="11" xfId="0" applyNumberFormat="1" applyFont="1" applyFill="1" applyBorder="1" applyAlignment="1">
      <alignment horizontal="center" vertical="center"/>
    </xf>
    <xf numFmtId="2" fontId="3" fillId="38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182" fontId="3" fillId="0" borderId="26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3" fillId="39" borderId="11" xfId="0" applyNumberFormat="1" applyFont="1" applyFill="1" applyBorder="1" applyAlignment="1">
      <alignment horizontal="center" vertical="center"/>
    </xf>
    <xf numFmtId="180" fontId="3" fillId="40" borderId="12" xfId="0" applyNumberFormat="1" applyFont="1" applyFill="1" applyBorder="1" applyAlignment="1">
      <alignment/>
    </xf>
    <xf numFmtId="4" fontId="3" fillId="40" borderId="12" xfId="0" applyNumberFormat="1" applyFont="1" applyFill="1" applyBorder="1" applyAlignment="1">
      <alignment/>
    </xf>
    <xf numFmtId="180" fontId="3" fillId="40" borderId="12" xfId="0" applyNumberFormat="1" applyFont="1" applyFill="1" applyBorder="1" applyAlignment="1">
      <alignment/>
    </xf>
    <xf numFmtId="180" fontId="4" fillId="40" borderId="13" xfId="0" applyNumberFormat="1" applyFont="1" applyFill="1" applyBorder="1" applyAlignment="1">
      <alignment/>
    </xf>
    <xf numFmtId="180" fontId="3" fillId="40" borderId="26" xfId="0" applyNumberFormat="1" applyFont="1" applyFill="1" applyBorder="1" applyAlignment="1">
      <alignment/>
    </xf>
    <xf numFmtId="4" fontId="3" fillId="40" borderId="11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4" fontId="3" fillId="40" borderId="11" xfId="0" applyNumberFormat="1" applyFont="1" applyFill="1" applyBorder="1" applyAlignment="1">
      <alignment/>
    </xf>
    <xf numFmtId="4" fontId="4" fillId="40" borderId="13" xfId="0" applyNumberFormat="1" applyFont="1" applyFill="1" applyBorder="1" applyAlignment="1">
      <alignment/>
    </xf>
    <xf numFmtId="4" fontId="3" fillId="40" borderId="12" xfId="0" applyNumberFormat="1" applyFont="1" applyFill="1" applyBorder="1" applyAlignment="1">
      <alignment/>
    </xf>
    <xf numFmtId="0" fontId="0" fillId="40" borderId="0" xfId="0" applyFill="1" applyAlignment="1">
      <alignment/>
    </xf>
    <xf numFmtId="4" fontId="3" fillId="34" borderId="21" xfId="0" applyNumberFormat="1" applyFont="1" applyFill="1" applyBorder="1" applyAlignment="1">
      <alignment horizontal="left" indent="2"/>
    </xf>
    <xf numFmtId="183" fontId="3" fillId="0" borderId="12" xfId="0" applyNumberFormat="1" applyFont="1" applyFill="1" applyBorder="1" applyAlignment="1">
      <alignment/>
    </xf>
    <xf numFmtId="183" fontId="3" fillId="0" borderId="0" xfId="0" applyNumberFormat="1" applyFont="1" applyAlignment="1">
      <alignment/>
    </xf>
    <xf numFmtId="0" fontId="3" fillId="33" borderId="37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6" fontId="3" fillId="0" borderId="12" xfId="0" applyNumberFormat="1" applyFont="1" applyFill="1" applyBorder="1" applyAlignment="1">
      <alignment/>
    </xf>
    <xf numFmtId="4" fontId="3" fillId="39" borderId="31" xfId="0" applyNumberFormat="1" applyFont="1" applyFill="1" applyBorder="1" applyAlignment="1">
      <alignment/>
    </xf>
    <xf numFmtId="180" fontId="3" fillId="39" borderId="12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/>
    </xf>
    <xf numFmtId="180" fontId="3" fillId="40" borderId="10" xfId="0" applyNumberFormat="1" applyFont="1" applyFill="1" applyBorder="1" applyAlignment="1">
      <alignment/>
    </xf>
    <xf numFmtId="2" fontId="4" fillId="0" borderId="30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180" fontId="3" fillId="40" borderId="4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4" fillId="39" borderId="44" xfId="0" applyNumberFormat="1" applyFont="1" applyFill="1" applyBorder="1" applyAlignment="1">
      <alignment/>
    </xf>
    <xf numFmtId="4" fontId="4" fillId="39" borderId="45" xfId="0" applyNumberFormat="1" applyFont="1" applyFill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3" fillId="0" borderId="43" xfId="0" applyNumberFormat="1" applyFont="1" applyFill="1" applyBorder="1" applyAlignment="1">
      <alignment/>
    </xf>
    <xf numFmtId="180" fontId="3" fillId="34" borderId="20" xfId="0" applyNumberFormat="1" applyFont="1" applyFill="1" applyBorder="1" applyAlignment="1">
      <alignment/>
    </xf>
    <xf numFmtId="4" fontId="4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180" fontId="4" fillId="0" borderId="30" xfId="0" applyNumberFormat="1" applyFont="1" applyBorder="1" applyAlignment="1">
      <alignment/>
    </xf>
    <xf numFmtId="0" fontId="0" fillId="0" borderId="41" xfId="0" applyBorder="1" applyAlignment="1">
      <alignment/>
    </xf>
    <xf numFmtId="184" fontId="4" fillId="39" borderId="20" xfId="0" applyNumberFormat="1" applyFont="1" applyFill="1" applyBorder="1" applyAlignment="1">
      <alignment/>
    </xf>
    <xf numFmtId="4" fontId="4" fillId="39" borderId="2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80" fontId="3" fillId="33" borderId="0" xfId="0" applyNumberFormat="1" applyFont="1" applyFill="1" applyBorder="1" applyAlignment="1">
      <alignment/>
    </xf>
    <xf numFmtId="180" fontId="3" fillId="40" borderId="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180" fontId="4" fillId="39" borderId="21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180" fontId="4" fillId="39" borderId="20" xfId="0" applyNumberFormat="1" applyFont="1" applyFill="1" applyBorder="1" applyAlignment="1">
      <alignment/>
    </xf>
    <xf numFmtId="2" fontId="4" fillId="40" borderId="13" xfId="0" applyNumberFormat="1" applyFont="1" applyFill="1" applyBorder="1" applyAlignment="1">
      <alignment/>
    </xf>
    <xf numFmtId="2" fontId="4" fillId="0" borderId="49" xfId="0" applyNumberFormat="1" applyFont="1" applyBorder="1" applyAlignment="1">
      <alignment/>
    </xf>
    <xf numFmtId="2" fontId="4" fillId="0" borderId="50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0" fontId="49" fillId="0" borderId="0" xfId="0" applyFont="1" applyAlignment="1">
      <alignment/>
    </xf>
    <xf numFmtId="186" fontId="3" fillId="0" borderId="11" xfId="0" applyNumberFormat="1" applyFont="1" applyFill="1" applyBorder="1" applyAlignment="1">
      <alignment/>
    </xf>
    <xf numFmtId="185" fontId="3" fillId="0" borderId="11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4" fontId="3" fillId="0" borderId="52" xfId="0" applyNumberFormat="1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4" fontId="3" fillId="40" borderId="43" xfId="0" applyNumberFormat="1" applyFont="1" applyFill="1" applyBorder="1" applyAlignment="1">
      <alignment/>
    </xf>
    <xf numFmtId="4" fontId="3" fillId="39" borderId="44" xfId="0" applyNumberFormat="1" applyFont="1" applyFill="1" applyBorder="1" applyAlignment="1">
      <alignment/>
    </xf>
    <xf numFmtId="185" fontId="3" fillId="0" borderId="28" xfId="0" applyNumberFormat="1" applyFont="1" applyFill="1" applyBorder="1" applyAlignment="1">
      <alignment/>
    </xf>
    <xf numFmtId="180" fontId="3" fillId="40" borderId="15" xfId="0" applyNumberFormat="1" applyFont="1" applyFill="1" applyBorder="1" applyAlignment="1">
      <alignment/>
    </xf>
    <xf numFmtId="4" fontId="3" fillId="40" borderId="15" xfId="0" applyNumberFormat="1" applyFont="1" applyFill="1" applyBorder="1" applyAlignment="1">
      <alignment/>
    </xf>
    <xf numFmtId="180" fontId="3" fillId="40" borderId="15" xfId="0" applyNumberFormat="1" applyFont="1" applyFill="1" applyBorder="1" applyAlignment="1">
      <alignment/>
    </xf>
    <xf numFmtId="4" fontId="3" fillId="40" borderId="15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5" fillId="0" borderId="53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/>
    </xf>
    <xf numFmtId="181" fontId="3" fillId="40" borderId="15" xfId="0" applyNumberFormat="1" applyFont="1" applyFill="1" applyBorder="1" applyAlignment="1">
      <alignment/>
    </xf>
    <xf numFmtId="180" fontId="3" fillId="40" borderId="11" xfId="0" applyNumberFormat="1" applyFont="1" applyFill="1" applyBorder="1" applyAlignment="1">
      <alignment/>
    </xf>
    <xf numFmtId="184" fontId="3" fillId="40" borderId="12" xfId="0" applyNumberFormat="1" applyFont="1" applyFill="1" applyBorder="1" applyAlignment="1">
      <alignment/>
    </xf>
    <xf numFmtId="180" fontId="3" fillId="40" borderId="10" xfId="0" applyNumberFormat="1" applyFont="1" applyFill="1" applyBorder="1" applyAlignment="1">
      <alignment/>
    </xf>
    <xf numFmtId="184" fontId="3" fillId="33" borderId="38" xfId="0" applyNumberFormat="1" applyFont="1" applyFill="1" applyBorder="1" applyAlignment="1">
      <alignment horizontal="center" wrapText="1"/>
    </xf>
    <xf numFmtId="184" fontId="3" fillId="33" borderId="37" xfId="0" applyNumberFormat="1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185" fontId="4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40" borderId="13" xfId="0" applyFont="1" applyFill="1" applyBorder="1" applyAlignment="1">
      <alignment/>
    </xf>
    <xf numFmtId="4" fontId="2" fillId="33" borderId="40" xfId="0" applyNumberFormat="1" applyFont="1" applyFill="1" applyBorder="1" applyAlignment="1">
      <alignment wrapText="1"/>
    </xf>
    <xf numFmtId="4" fontId="3" fillId="0" borderId="54" xfId="0" applyNumberFormat="1" applyFont="1" applyFill="1" applyBorder="1" applyAlignment="1">
      <alignment/>
    </xf>
    <xf numFmtId="180" fontId="4" fillId="39" borderId="5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84" fontId="4" fillId="39" borderId="56" xfId="0" applyNumberFormat="1" applyFont="1" applyFill="1" applyBorder="1" applyAlignment="1">
      <alignment/>
    </xf>
    <xf numFmtId="185" fontId="4" fillId="0" borderId="57" xfId="0" applyNumberFormat="1" applyFont="1" applyBorder="1" applyAlignment="1">
      <alignment horizontal="center"/>
    </xf>
    <xf numFmtId="185" fontId="4" fillId="0" borderId="30" xfId="0" applyNumberFormat="1" applyFont="1" applyBorder="1" applyAlignment="1">
      <alignment/>
    </xf>
    <xf numFmtId="185" fontId="4" fillId="0" borderId="51" xfId="0" applyNumberFormat="1" applyFont="1" applyBorder="1" applyAlignment="1">
      <alignment horizontal="center"/>
    </xf>
    <xf numFmtId="4" fontId="27" fillId="33" borderId="58" xfId="0" applyNumberFormat="1" applyFont="1" applyFill="1" applyBorder="1" applyAlignment="1">
      <alignment wrapText="1"/>
    </xf>
    <xf numFmtId="4" fontId="27" fillId="33" borderId="13" xfId="0" applyNumberFormat="1" applyFont="1" applyFill="1" applyBorder="1" applyAlignment="1">
      <alignment wrapText="1"/>
    </xf>
    <xf numFmtId="4" fontId="27" fillId="33" borderId="50" xfId="0" applyNumberFormat="1" applyFont="1" applyFill="1" applyBorder="1" applyAlignment="1">
      <alignment wrapText="1"/>
    </xf>
    <xf numFmtId="4" fontId="2" fillId="33" borderId="50" xfId="0" applyNumberFormat="1" applyFont="1" applyFill="1" applyBorder="1" applyAlignment="1">
      <alignment wrapText="1"/>
    </xf>
    <xf numFmtId="4" fontId="2" fillId="33" borderId="43" xfId="0" applyNumberFormat="1" applyFont="1" applyFill="1" applyBorder="1" applyAlignment="1">
      <alignment wrapText="1"/>
    </xf>
    <xf numFmtId="4" fontId="2" fillId="33" borderId="13" xfId="0" applyNumberFormat="1" applyFont="1" applyFill="1" applyBorder="1" applyAlignment="1">
      <alignment wrapText="1"/>
    </xf>
    <xf numFmtId="185" fontId="0" fillId="0" borderId="22" xfId="0" applyNumberFormat="1" applyBorder="1" applyAlignment="1">
      <alignment/>
    </xf>
    <xf numFmtId="4" fontId="1" fillId="0" borderId="30" xfId="0" applyNumberFormat="1" applyFont="1" applyBorder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2" fontId="31" fillId="0" borderId="0" xfId="0" applyNumberFormat="1" applyFont="1" applyBorder="1" applyAlignment="1">
      <alignment horizontal="center"/>
    </xf>
    <xf numFmtId="180" fontId="4" fillId="0" borderId="50" xfId="0" applyNumberFormat="1" applyFont="1" applyBorder="1" applyAlignment="1">
      <alignment/>
    </xf>
    <xf numFmtId="180" fontId="4" fillId="0" borderId="59" xfId="0" applyNumberFormat="1" applyFont="1" applyBorder="1" applyAlignment="1">
      <alignment/>
    </xf>
    <xf numFmtId="0" fontId="0" fillId="0" borderId="23" xfId="0" applyBorder="1" applyAlignment="1">
      <alignment/>
    </xf>
    <xf numFmtId="180" fontId="3" fillId="34" borderId="60" xfId="0" applyNumberFormat="1" applyFont="1" applyFill="1" applyBorder="1" applyAlignment="1">
      <alignment/>
    </xf>
    <xf numFmtId="180" fontId="3" fillId="34" borderId="42" xfId="0" applyNumberFormat="1" applyFont="1" applyFill="1" applyBorder="1" applyAlignment="1">
      <alignment/>
    </xf>
    <xf numFmtId="180" fontId="3" fillId="34" borderId="31" xfId="0" applyNumberFormat="1" applyFont="1" applyFill="1" applyBorder="1" applyAlignment="1">
      <alignment/>
    </xf>
    <xf numFmtId="180" fontId="3" fillId="34" borderId="3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185" fontId="1" fillId="0" borderId="61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185" fontId="1" fillId="0" borderId="51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2" fillId="33" borderId="57" xfId="0" applyNumberFormat="1" applyFont="1" applyFill="1" applyBorder="1" applyAlignment="1">
      <alignment horizontal="center" wrapText="1"/>
    </xf>
    <xf numFmtId="4" fontId="2" fillId="33" borderId="37" xfId="0" applyNumberFormat="1" applyFont="1" applyFill="1" applyBorder="1" applyAlignment="1">
      <alignment horizontal="center" wrapText="1"/>
    </xf>
    <xf numFmtId="4" fontId="2" fillId="33" borderId="38" xfId="0" applyNumberFormat="1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4" fontId="4" fillId="0" borderId="52" xfId="0" applyNumberFormat="1" applyFont="1" applyBorder="1" applyAlignment="1">
      <alignment/>
    </xf>
    <xf numFmtId="184" fontId="3" fillId="33" borderId="51" xfId="0" applyNumberFormat="1" applyFont="1" applyFill="1" applyBorder="1" applyAlignment="1">
      <alignment horizontal="center" wrapText="1"/>
    </xf>
    <xf numFmtId="4" fontId="2" fillId="33" borderId="58" xfId="0" applyNumberFormat="1" applyFont="1" applyFill="1" applyBorder="1" applyAlignment="1">
      <alignment wrapText="1"/>
    </xf>
    <xf numFmtId="185" fontId="0" fillId="0" borderId="28" xfId="0" applyNumberFormat="1" applyBorder="1" applyAlignment="1">
      <alignment/>
    </xf>
    <xf numFmtId="184" fontId="4" fillId="0" borderId="25" xfId="0" applyNumberFormat="1" applyFont="1" applyBorder="1" applyAlignment="1">
      <alignment/>
    </xf>
    <xf numFmtId="185" fontId="4" fillId="0" borderId="25" xfId="0" applyNumberFormat="1" applyFont="1" applyBorder="1" applyAlignment="1">
      <alignment/>
    </xf>
    <xf numFmtId="0" fontId="1" fillId="39" borderId="49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9"/>
  <sheetViews>
    <sheetView view="pageBreakPreview" zoomScaleSheetLayoutView="100" zoomScalePageLayoutView="0" workbookViewId="0" topLeftCell="A1">
      <pane xSplit="4" ySplit="2" topLeftCell="I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4" sqref="O4"/>
    </sheetView>
  </sheetViews>
  <sheetFormatPr defaultColWidth="9.140625" defaultRowHeight="12.75"/>
  <cols>
    <col min="1" max="1" width="21.421875" style="19" customWidth="1"/>
    <col min="2" max="2" width="6.140625" style="19" customWidth="1"/>
    <col min="3" max="3" width="11.8515625" style="50" customWidth="1"/>
    <col min="4" max="4" width="11.7109375" style="50" customWidth="1"/>
    <col min="5" max="5" width="12.140625" style="50" customWidth="1"/>
    <col min="6" max="6" width="11.57421875" style="99" customWidth="1"/>
    <col min="7" max="7" width="10.7109375" style="0" customWidth="1"/>
    <col min="8" max="8" width="10.57421875" style="0" customWidth="1"/>
    <col min="9" max="9" width="10.421875" style="0" customWidth="1"/>
    <col min="10" max="10" width="10.8515625" style="0" customWidth="1"/>
    <col min="11" max="11" width="11.00390625" style="197" customWidth="1"/>
    <col min="12" max="12" width="12.00390625" style="0" customWidth="1"/>
    <col min="13" max="14" width="11.7109375" style="0" customWidth="1"/>
    <col min="15" max="15" width="12.28125" style="0" customWidth="1"/>
    <col min="16" max="16" width="7.57421875" style="20" customWidth="1"/>
    <col min="17" max="17" width="7.421875" style="0" customWidth="1"/>
    <col min="18" max="18" width="8.8515625" style="0" hidden="1" customWidth="1"/>
    <col min="19" max="19" width="15.7109375" style="0" hidden="1" customWidth="1"/>
    <col min="20" max="20" width="0" style="0" hidden="1" customWidth="1"/>
  </cols>
  <sheetData>
    <row r="1" spans="1:42" ht="19.5" customHeight="1">
      <c r="A1" s="300" t="s">
        <v>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ht="17.2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</row>
    <row r="3" spans="1:42" s="103" customFormat="1" ht="25.5" customHeight="1" thickBot="1">
      <c r="A3" s="19"/>
      <c r="B3" s="19"/>
      <c r="C3" s="302" t="s">
        <v>43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/>
      <c r="P3" s="2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20" customFormat="1" ht="25.5" customHeight="1" thickBot="1">
      <c r="A4" s="278"/>
      <c r="B4" s="279"/>
      <c r="C4" s="280" t="s">
        <v>9</v>
      </c>
      <c r="D4" s="280" t="s">
        <v>10</v>
      </c>
      <c r="E4" s="280" t="s">
        <v>11</v>
      </c>
      <c r="F4" s="281" t="s">
        <v>12</v>
      </c>
      <c r="G4" s="282" t="s">
        <v>13</v>
      </c>
      <c r="H4" s="282" t="s">
        <v>14</v>
      </c>
      <c r="I4" s="282" t="s">
        <v>15</v>
      </c>
      <c r="J4" s="282" t="s">
        <v>16</v>
      </c>
      <c r="K4" s="283" t="s">
        <v>17</v>
      </c>
      <c r="L4" s="282" t="s">
        <v>18</v>
      </c>
      <c r="M4" s="282" t="s">
        <v>19</v>
      </c>
      <c r="N4" s="282" t="s">
        <v>20</v>
      </c>
      <c r="O4" s="327" t="s">
        <v>0</v>
      </c>
      <c r="P4" s="299" t="s">
        <v>52</v>
      </c>
      <c r="Q4" s="299" t="s">
        <v>53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106" customFormat="1" ht="15" customHeight="1" thickBot="1">
      <c r="A5" s="313" t="s">
        <v>1</v>
      </c>
      <c r="B5" s="293" t="s">
        <v>40</v>
      </c>
      <c r="C5" s="277">
        <f>C7+C9+C11+C15+C17+C19+C21+C23+C25</f>
        <v>15288.5755</v>
      </c>
      <c r="D5" s="277">
        <f aca="true" t="shared" si="0" ref="D5:N5">D7+D9+D11+D15+D17+D19+D21+D23+D25</f>
        <v>14808.469000000001</v>
      </c>
      <c r="E5" s="277">
        <f t="shared" si="0"/>
        <v>13612.712199999998</v>
      </c>
      <c r="F5" s="277">
        <f t="shared" si="0"/>
        <v>8280.8173</v>
      </c>
      <c r="G5" s="277">
        <f t="shared" si="0"/>
        <v>8.8969</v>
      </c>
      <c r="H5" s="277">
        <f t="shared" si="0"/>
        <v>1.372</v>
      </c>
      <c r="I5" s="277">
        <f t="shared" si="0"/>
        <v>1.1468</v>
      </c>
      <c r="J5" s="277">
        <f t="shared" si="0"/>
        <v>1.11581</v>
      </c>
      <c r="K5" s="277">
        <f t="shared" si="0"/>
        <v>2.53</v>
      </c>
      <c r="L5" s="277">
        <f>L7+L9+L11+L15+L17+L19+L21+L23+L25+L13+L27+L29</f>
        <v>6895.979170000001</v>
      </c>
      <c r="M5" s="277">
        <f>M7+M9+M11+M15+M17+M19+M21+M23+M25+M13+M27+M29</f>
        <v>11284.94316</v>
      </c>
      <c r="N5" s="277">
        <f>N7+N9+N11+N15+N17+N19+N21+N23+N25+N13+N27+N29</f>
        <v>12202.244939999999</v>
      </c>
      <c r="O5" s="101">
        <f>D5+E5+F5+G5+H5+I5+J5+K5+L5+M5+N5+C5</f>
        <v>82388.80278000001</v>
      </c>
      <c r="P5" s="298"/>
      <c r="Q5" s="324"/>
      <c r="R5" s="103"/>
      <c r="S5" s="20">
        <f>O7+O9+O11+O13+O15+O17+O19+O21+O25+O27+O29</f>
        <v>82277.75587000001</v>
      </c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</row>
    <row r="6" spans="1:42" ht="13.5" customHeight="1" thickBot="1">
      <c r="A6" s="315"/>
      <c r="B6" s="294" t="s">
        <v>41</v>
      </c>
      <c r="C6" s="4">
        <f>C8+C10+C12+C16+C18+C20+C22+C24++C26</f>
        <v>29302068.099999998</v>
      </c>
      <c r="D6" s="4">
        <f aca="true" t="shared" si="1" ref="D6:N6">D8+D10+D12+D16+D18+D20+D22+D24++D26</f>
        <v>28336453.33</v>
      </c>
      <c r="E6" s="4">
        <f t="shared" si="1"/>
        <v>26081361.63</v>
      </c>
      <c r="F6" s="4">
        <f t="shared" si="1"/>
        <v>15872071.420000002</v>
      </c>
      <c r="G6" s="4">
        <f t="shared" si="1"/>
        <v>14779.61</v>
      </c>
      <c r="H6" s="4">
        <f t="shared" si="1"/>
        <v>1524.02</v>
      </c>
      <c r="I6" s="4">
        <f t="shared" si="1"/>
        <v>1427.09</v>
      </c>
      <c r="J6" s="4">
        <f t="shared" si="1"/>
        <v>1388.52</v>
      </c>
      <c r="K6" s="4">
        <f t="shared" si="1"/>
        <v>3148.53</v>
      </c>
      <c r="L6" s="4">
        <f>L8+L10+L12+L16+L18+L20+L22+L24++L26+L14+L28+L30</f>
        <v>15823837.629999999</v>
      </c>
      <c r="M6" s="4">
        <f>M8+M10+M12+M16+M18+M20+M22+M24++M26+M14+M28+M30</f>
        <v>25225860.73</v>
      </c>
      <c r="N6" s="4">
        <f>N8+N10+N12+N16+N18+N20+N22+N24++N26+N14+N28+N30</f>
        <v>26477512.13</v>
      </c>
      <c r="O6" s="23">
        <f>D6+E6+F6+G6+H6+I6+J6+K6+L6+M6+N6+C6</f>
        <v>167141432.73999998</v>
      </c>
      <c r="P6" s="46"/>
      <c r="Q6" s="316"/>
      <c r="R6" s="20">
        <f>O6/O5</f>
        <v>2028.6911218544103</v>
      </c>
      <c r="S6" s="20">
        <f>O8+O10+O12+O14+O16+O18+O20+O22+O26+O28+O30</f>
        <v>167013410.18999997</v>
      </c>
      <c r="T6" s="20">
        <f>S6/S5</f>
        <v>2029.873182903572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18" s="106" customFormat="1" ht="16.5" customHeight="1" thickBot="1">
      <c r="A7" s="317" t="s">
        <v>33</v>
      </c>
      <c r="B7" s="17" t="s">
        <v>40</v>
      </c>
      <c r="C7" s="104">
        <v>50.96</v>
      </c>
      <c r="D7" s="104">
        <v>49.622</v>
      </c>
      <c r="E7" s="104">
        <v>45.485</v>
      </c>
      <c r="F7" s="104">
        <v>27.564</v>
      </c>
      <c r="G7" s="67"/>
      <c r="H7" s="104"/>
      <c r="I7" s="67"/>
      <c r="J7" s="67"/>
      <c r="K7" s="191"/>
      <c r="L7" s="67">
        <v>24.186</v>
      </c>
      <c r="M7" s="67">
        <v>35.832</v>
      </c>
      <c r="N7" s="68">
        <v>48.238</v>
      </c>
      <c r="O7" s="235">
        <f>D7+E7+F7+H7+I7+J7+K7+L7+M7+N7+C7</f>
        <v>281.887</v>
      </c>
      <c r="P7" s="105"/>
      <c r="Q7" s="325"/>
      <c r="R7" s="20">
        <f aca="true" t="shared" si="2" ref="R7:R30">O7/O6</f>
        <v>1.686517791423355E-06</v>
      </c>
    </row>
    <row r="8" spans="1:18" ht="13.5" thickBot="1">
      <c r="A8" s="318"/>
      <c r="B8" s="17" t="s">
        <v>41</v>
      </c>
      <c r="C8" s="69">
        <v>166511.33</v>
      </c>
      <c r="D8" s="69">
        <v>162139.43</v>
      </c>
      <c r="E8" s="69">
        <v>148621.81</v>
      </c>
      <c r="F8" s="69">
        <v>90065.12</v>
      </c>
      <c r="G8" s="44"/>
      <c r="H8" s="44"/>
      <c r="I8" s="44"/>
      <c r="J8" s="44"/>
      <c r="K8" s="192"/>
      <c r="L8" s="44">
        <v>105203.09</v>
      </c>
      <c r="M8" s="44">
        <v>155860.29</v>
      </c>
      <c r="N8" s="70">
        <v>209823.31</v>
      </c>
      <c r="O8" s="236">
        <f>D8+E8+F8+H8+I8+J8+K8+L8+M8+N8+C8</f>
        <v>1038224.38</v>
      </c>
      <c r="P8" s="46">
        <f>(C8+D8+E8+F8+G8+H8)/(C7+D7+E7+F7+G7+H7)</f>
        <v>3267.490770657313</v>
      </c>
      <c r="Q8" s="316">
        <f>(I8+J8+K8+L8+M8+N8)/(I7+J7+K7+L7+M7+N7)</f>
        <v>4349.751422553946</v>
      </c>
      <c r="R8" s="20">
        <f t="shared" si="2"/>
        <v>3683.1225987718485</v>
      </c>
    </row>
    <row r="9" spans="1:19" s="106" customFormat="1" ht="15" customHeight="1" thickBot="1">
      <c r="A9" s="319" t="s">
        <v>34</v>
      </c>
      <c r="B9" s="17" t="s">
        <v>40</v>
      </c>
      <c r="C9" s="107">
        <v>81.3109</v>
      </c>
      <c r="D9" s="107">
        <v>79.225</v>
      </c>
      <c r="E9" s="107">
        <v>72.595</v>
      </c>
      <c r="F9" s="107">
        <v>44.012</v>
      </c>
      <c r="G9" s="31"/>
      <c r="H9" s="107"/>
      <c r="I9" s="31"/>
      <c r="J9" s="31"/>
      <c r="K9" s="187"/>
      <c r="L9" s="31">
        <v>38.588</v>
      </c>
      <c r="M9" s="63">
        <v>57.1882</v>
      </c>
      <c r="N9" s="32">
        <v>76.995</v>
      </c>
      <c r="O9" s="235">
        <f>D9+E9+F9+H9+I9+J9+K9+L9+M9+N9+C9</f>
        <v>449.9141</v>
      </c>
      <c r="P9" s="108"/>
      <c r="Q9" s="325"/>
      <c r="R9" s="20">
        <f t="shared" si="2"/>
        <v>0.0004333495809451132</v>
      </c>
      <c r="S9" s="50" t="e">
        <f>O8+O10+O12+O14+O16+O18+O20+O22+O24+#REF!+O26+O28+O30</f>
        <v>#REF!</v>
      </c>
    </row>
    <row r="10" spans="1:18" ht="13.5" thickBot="1">
      <c r="A10" s="318"/>
      <c r="B10" s="17" t="s">
        <v>41</v>
      </c>
      <c r="C10" s="55">
        <v>273820.31</v>
      </c>
      <c r="D10" s="55">
        <v>266795.41</v>
      </c>
      <c r="E10" s="55">
        <v>244467.67</v>
      </c>
      <c r="F10" s="55">
        <v>148212.36</v>
      </c>
      <c r="G10" s="45"/>
      <c r="H10" s="45"/>
      <c r="I10" s="45"/>
      <c r="J10" s="45"/>
      <c r="K10" s="188"/>
      <c r="L10" s="45">
        <v>165026.38</v>
      </c>
      <c r="M10" s="45">
        <v>244572.19</v>
      </c>
      <c r="N10" s="71">
        <v>329279.63</v>
      </c>
      <c r="O10" s="236">
        <f>D10+E10+F10+H10+I10+J10+K10+L10+M10+N10+C10</f>
        <v>1672173.9500000002</v>
      </c>
      <c r="P10" s="46">
        <v>3367.57</v>
      </c>
      <c r="Q10" s="316">
        <v>4276.62</v>
      </c>
      <c r="R10" s="20">
        <f t="shared" si="2"/>
        <v>3716.651578601338</v>
      </c>
    </row>
    <row r="11" spans="1:42" ht="15" customHeight="1" thickBot="1">
      <c r="A11" s="273" t="s">
        <v>45</v>
      </c>
      <c r="B11" s="17" t="s">
        <v>40</v>
      </c>
      <c r="C11" s="107">
        <v>1665.763</v>
      </c>
      <c r="D11" s="107">
        <v>1620.089</v>
      </c>
      <c r="E11" s="107">
        <v>1487.381</v>
      </c>
      <c r="F11" s="107">
        <v>901.429</v>
      </c>
      <c r="G11" s="31"/>
      <c r="H11" s="107"/>
      <c r="I11" s="31"/>
      <c r="J11" s="31"/>
      <c r="K11" s="187"/>
      <c r="L11" s="31">
        <v>178.688</v>
      </c>
      <c r="M11" s="45"/>
      <c r="N11" s="32"/>
      <c r="O11" s="235">
        <f>D11+E11+F11+H11+I11+J11+K11+L11+M11+N11+C11</f>
        <v>5853.35</v>
      </c>
      <c r="P11" s="108"/>
      <c r="Q11" s="325"/>
      <c r="R11" s="20">
        <f t="shared" si="2"/>
        <v>0.003500443240369819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</row>
    <row r="12" spans="1:18" ht="18" customHeight="1" thickBot="1">
      <c r="A12" s="274"/>
      <c r="B12" s="17" t="s">
        <v>41</v>
      </c>
      <c r="C12" s="55">
        <v>2145402.8</v>
      </c>
      <c r="D12" s="55">
        <v>2086577.43</v>
      </c>
      <c r="E12" s="55">
        <v>1915657.49</v>
      </c>
      <c r="F12" s="55">
        <v>1160986.47</v>
      </c>
      <c r="G12" s="45"/>
      <c r="H12" s="45"/>
      <c r="I12" s="45"/>
      <c r="J12" s="45"/>
      <c r="K12" s="188"/>
      <c r="L12" s="45">
        <v>258711.63</v>
      </c>
      <c r="M12" s="31"/>
      <c r="N12" s="71"/>
      <c r="O12" s="236">
        <f>D12+E12+F12+H12+I12+J12+K12+L12+M12+N12+C12</f>
        <v>7567335.819999999</v>
      </c>
      <c r="P12" s="46">
        <f>(C12+D12+E12+F12+G12+H12)/(C11+D11+E11+F11+G11+H11)</f>
        <v>1287.940002417765</v>
      </c>
      <c r="Q12" s="316">
        <f>(I12+J12+K12+L12+M12+N12)/(I11+J11+K11+L11+M11+N11)</f>
        <v>1447.839978062321</v>
      </c>
      <c r="R12" s="20">
        <f t="shared" si="2"/>
        <v>1292.8213450417281</v>
      </c>
    </row>
    <row r="13" spans="1:42" s="106" customFormat="1" ht="27.75" customHeight="1" thickBot="1">
      <c r="A13" s="275" t="s">
        <v>46</v>
      </c>
      <c r="B13" s="17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v>612.645</v>
      </c>
      <c r="M13" s="31">
        <v>1115.771</v>
      </c>
      <c r="N13" s="32">
        <v>1577.06</v>
      </c>
      <c r="O13" s="242">
        <f>C13+D13+E13+F13+G13+H13+I13+J13+K13+L13+M13+N13</f>
        <v>3305.4759999999997</v>
      </c>
      <c r="P13" s="46"/>
      <c r="Q13" s="316"/>
      <c r="R13" s="20">
        <f t="shared" si="2"/>
        <v>0.0004368084195845824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18" ht="18" customHeight="1" thickBot="1">
      <c r="A14" s="276"/>
      <c r="B14" s="17" t="s">
        <v>41</v>
      </c>
      <c r="C14" s="45"/>
      <c r="D14" s="45"/>
      <c r="E14" s="45"/>
      <c r="F14" s="45"/>
      <c r="G14" s="45"/>
      <c r="H14" s="45"/>
      <c r="I14" s="45"/>
      <c r="J14" s="45"/>
      <c r="K14" s="45"/>
      <c r="L14" s="45">
        <v>1054735.76</v>
      </c>
      <c r="M14" s="45">
        <v>1920922.51</v>
      </c>
      <c r="N14" s="71">
        <v>2715082.27</v>
      </c>
      <c r="O14" s="243">
        <f>C14+D14+E14+F14+G14+H14+I14+J14+K14+L14+M14+N14</f>
        <v>5690740.54</v>
      </c>
      <c r="P14" s="46"/>
      <c r="Q14" s="316">
        <f>(I14+J14+K14+L14+M14+N14)/(I13+J13+K13+L13+M13+N13)</f>
        <v>1721.6100011012031</v>
      </c>
      <c r="R14" s="20">
        <f t="shared" si="2"/>
        <v>1721.6100011012031</v>
      </c>
    </row>
    <row r="15" spans="1:18" s="106" customFormat="1" ht="18.75" customHeight="1" thickBot="1">
      <c r="A15" s="273" t="s">
        <v>3</v>
      </c>
      <c r="B15" s="17" t="s">
        <v>40</v>
      </c>
      <c r="C15" s="107">
        <v>15.106</v>
      </c>
      <c r="D15" s="107">
        <v>14.719</v>
      </c>
      <c r="E15" s="107">
        <v>13.487</v>
      </c>
      <c r="F15" s="107">
        <v>8.177</v>
      </c>
      <c r="G15" s="31"/>
      <c r="H15" s="107"/>
      <c r="I15" s="31"/>
      <c r="J15" s="31"/>
      <c r="K15" s="187"/>
      <c r="L15" s="31">
        <v>6.945</v>
      </c>
      <c r="M15" s="31">
        <v>10.625</v>
      </c>
      <c r="N15" s="32">
        <v>14.304</v>
      </c>
      <c r="O15" s="235">
        <f>D15+E15+F15+H15+I15+J15+K15+L15+M15+N15+C15</f>
        <v>83.36299999999999</v>
      </c>
      <c r="P15" s="108"/>
      <c r="Q15" s="325"/>
      <c r="R15" s="20">
        <f t="shared" si="2"/>
        <v>1.4648884343618306E-05</v>
      </c>
    </row>
    <row r="16" spans="1:18" ht="13.5" thickBot="1">
      <c r="A16" s="274"/>
      <c r="B16" s="17" t="s">
        <v>41</v>
      </c>
      <c r="C16" s="55">
        <v>21188.49</v>
      </c>
      <c r="D16" s="55">
        <v>20645.67</v>
      </c>
      <c r="E16" s="55">
        <v>18917.59</v>
      </c>
      <c r="F16" s="55">
        <v>11469.51</v>
      </c>
      <c r="G16" s="45"/>
      <c r="H16" s="45"/>
      <c r="I16" s="45"/>
      <c r="J16" s="45"/>
      <c r="K16" s="188"/>
      <c r="L16" s="45">
        <v>10590.69</v>
      </c>
      <c r="M16" s="45">
        <v>16202.46</v>
      </c>
      <c r="N16" s="71">
        <v>21812.71</v>
      </c>
      <c r="O16" s="236">
        <f>D16+E16+F16+H16+I16+J16+K16+L16+M16+N16+C16</f>
        <v>120827.12000000001</v>
      </c>
      <c r="P16" s="46">
        <f>(C16+D16+E16+F16+G16+H16)/(C15+D15+E15+F15+G15+H15)</f>
        <v>1402.6541591407872</v>
      </c>
      <c r="Q16" s="316">
        <f>(I16+J16+K16+L16+M16+N16)/(I15+J15+K15+L15+M15+N15)</f>
        <v>1524.937566668758</v>
      </c>
      <c r="R16" s="20">
        <f t="shared" si="2"/>
        <v>1449.4094502357163</v>
      </c>
    </row>
    <row r="17" spans="1:18" s="106" customFormat="1" ht="18" customHeight="1" thickBot="1">
      <c r="A17" s="273" t="s">
        <v>4</v>
      </c>
      <c r="B17" s="17" t="s">
        <v>40</v>
      </c>
      <c r="C17" s="107">
        <v>8807.2006</v>
      </c>
      <c r="D17" s="107">
        <v>8478.382</v>
      </c>
      <c r="E17" s="107">
        <v>7831.0606</v>
      </c>
      <c r="F17" s="107">
        <v>4773.0289</v>
      </c>
      <c r="G17" s="31">
        <v>4.158</v>
      </c>
      <c r="H17" s="107"/>
      <c r="I17" s="31"/>
      <c r="J17" s="31"/>
      <c r="K17" s="187"/>
      <c r="L17" s="204">
        <v>4175.0903</v>
      </c>
      <c r="M17" s="251">
        <v>6189.4969</v>
      </c>
      <c r="N17" s="269">
        <f>8315.1199-607.4874-(1879.0498)</f>
        <v>5828.5827</v>
      </c>
      <c r="O17" s="235">
        <f>D17+E17+F17+H17+I17+J17+K17+L17+M17+N17+C17+G17</f>
        <v>46087.00000000001</v>
      </c>
      <c r="P17" s="108"/>
      <c r="Q17" s="325"/>
      <c r="R17" s="20">
        <f t="shared" si="2"/>
        <v>0.3814292685284562</v>
      </c>
    </row>
    <row r="18" spans="1:18" ht="13.5" thickBot="1">
      <c r="A18" s="274"/>
      <c r="B18" s="17" t="s">
        <v>41</v>
      </c>
      <c r="C18" s="55">
        <v>20152609.99</v>
      </c>
      <c r="D18" s="55">
        <v>19400209.16</v>
      </c>
      <c r="E18" s="55">
        <v>17919009.39</v>
      </c>
      <c r="F18" s="55">
        <v>10921630.41</v>
      </c>
      <c r="G18" s="45">
        <v>9514.32</v>
      </c>
      <c r="H18" s="45"/>
      <c r="I18" s="45"/>
      <c r="J18" s="45"/>
      <c r="K18" s="188"/>
      <c r="L18" s="55">
        <v>11198915.69</v>
      </c>
      <c r="M18" s="69">
        <v>16602192.77</v>
      </c>
      <c r="N18" s="262">
        <f>22303787.38-1629473.75-(5040207.22)</f>
        <v>15634106.41</v>
      </c>
      <c r="O18" s="236">
        <f>D18+E18+F18+H18+I18+J18+K18+L18+M18+N18+C18+G18</f>
        <v>111838188.13999997</v>
      </c>
      <c r="P18" s="46">
        <f>(C18+D18+E18+F18+G18+H18)/(C17+D17+E17+F17+G17+H17)</f>
        <v>2288.197030664197</v>
      </c>
      <c r="Q18" s="316">
        <f>(I18+J18+K18+L18+M18+N18)/(I17+J17+K17+L17+M17+N17)</f>
        <v>2682.3169977361877</v>
      </c>
      <c r="R18" s="20">
        <f t="shared" si="2"/>
        <v>2426.675377872284</v>
      </c>
    </row>
    <row r="19" spans="1:18" s="106" customFormat="1" ht="22.5" customHeight="1" thickBot="1">
      <c r="A19" s="273" t="s">
        <v>47</v>
      </c>
      <c r="B19" s="17" t="s">
        <v>40</v>
      </c>
      <c r="C19" s="107">
        <v>142.621</v>
      </c>
      <c r="D19" s="107">
        <v>138.703</v>
      </c>
      <c r="E19" s="107">
        <v>127.094</v>
      </c>
      <c r="F19" s="107">
        <v>76.408</v>
      </c>
      <c r="G19" s="31"/>
      <c r="H19" s="107"/>
      <c r="I19" s="31"/>
      <c r="J19" s="31"/>
      <c r="K19" s="187"/>
      <c r="L19" s="31">
        <v>65.774</v>
      </c>
      <c r="M19" s="31">
        <v>99.798</v>
      </c>
      <c r="N19" s="32">
        <v>137.081</v>
      </c>
      <c r="O19" s="235">
        <f>D19+E19+F19+G19+H19+I19+J19+K19+L19+M19+N19+C19</f>
        <v>787.479</v>
      </c>
      <c r="P19" s="108"/>
      <c r="Q19" s="325"/>
      <c r="R19" s="20">
        <f t="shared" si="2"/>
        <v>7.0412353159211355E-06</v>
      </c>
    </row>
    <row r="20" spans="1:18" ht="13.5" thickBot="1">
      <c r="A20" s="274"/>
      <c r="B20" s="17" t="s">
        <v>41</v>
      </c>
      <c r="C20" s="55">
        <v>317681.23</v>
      </c>
      <c r="D20" s="55">
        <v>308954.08</v>
      </c>
      <c r="E20" s="55">
        <v>283095.61</v>
      </c>
      <c r="F20" s="55">
        <v>170195.05</v>
      </c>
      <c r="G20" s="45"/>
      <c r="H20" s="45"/>
      <c r="I20" s="45"/>
      <c r="J20" s="45"/>
      <c r="K20" s="188"/>
      <c r="L20" s="45">
        <v>172996.21</v>
      </c>
      <c r="M20" s="45">
        <v>262484.81</v>
      </c>
      <c r="N20" s="71">
        <v>360545.09</v>
      </c>
      <c r="O20" s="236">
        <f>D20+E20+F20+G20+H20+I20+J20+K20+L20+M20+N20+C20</f>
        <v>1875952.08</v>
      </c>
      <c r="P20" s="46">
        <f>(C20+D20+E20+F20+G20+H20)/(C19+D19+E19+F19+G19+H19)</f>
        <v>2227.450611147092</v>
      </c>
      <c r="Q20" s="316">
        <f>(I20+J20+K20+L20+M20+N20)/(I19+J19+K19+L19+M19+N19)</f>
        <v>2630.1609764317554</v>
      </c>
      <c r="R20" s="20">
        <f t="shared" si="2"/>
        <v>2382.224897425836</v>
      </c>
    </row>
    <row r="21" spans="1:18" s="106" customFormat="1" ht="19.5" customHeight="1" thickBot="1">
      <c r="A21" s="273" t="s">
        <v>5</v>
      </c>
      <c r="B21" s="17" t="s">
        <v>40</v>
      </c>
      <c r="C21" s="107">
        <v>243.674</v>
      </c>
      <c r="D21" s="107">
        <v>237.404</v>
      </c>
      <c r="E21" s="107">
        <v>217.58</v>
      </c>
      <c r="F21" s="107">
        <v>131.87</v>
      </c>
      <c r="G21" s="31"/>
      <c r="H21" s="107"/>
      <c r="I21" s="31"/>
      <c r="J21" s="31"/>
      <c r="K21" s="187"/>
      <c r="L21" s="31">
        <v>112.045</v>
      </c>
      <c r="M21" s="31">
        <v>171.372</v>
      </c>
      <c r="N21" s="32">
        <v>230.748</v>
      </c>
      <c r="O21" s="235">
        <f>D21+E21+F21+G21+H21+I21+J21+K21+L21+M21+N21+C21</f>
        <v>1344.693</v>
      </c>
      <c r="P21" s="108"/>
      <c r="Q21" s="325"/>
      <c r="R21" s="20">
        <f t="shared" si="2"/>
        <v>0.0007168056233078193</v>
      </c>
    </row>
    <row r="22" spans="1:18" ht="13.5" thickBot="1">
      <c r="A22" s="274"/>
      <c r="B22" s="17" t="s">
        <v>41</v>
      </c>
      <c r="C22" s="55">
        <v>371314.48</v>
      </c>
      <c r="D22" s="55">
        <v>361760.15</v>
      </c>
      <c r="E22" s="55">
        <v>331552.01</v>
      </c>
      <c r="F22" s="55">
        <v>200945.69</v>
      </c>
      <c r="G22" s="45"/>
      <c r="H22" s="45"/>
      <c r="I22" s="45"/>
      <c r="J22" s="45"/>
      <c r="K22" s="188"/>
      <c r="L22" s="45">
        <v>186482.61</v>
      </c>
      <c r="M22" s="45">
        <v>285223.77</v>
      </c>
      <c r="N22" s="71">
        <v>384046.49</v>
      </c>
      <c r="O22" s="236">
        <f>D22+E22+F22+G22+H22+I22+J22+K22+L22+M22+N22+C22</f>
        <v>2121325.2</v>
      </c>
      <c r="P22" s="46">
        <f>(C22+D22+E22+F22+G22+H22)/(C21+D21+E21+F21+G21+H21)</f>
        <v>1523.8165721083456</v>
      </c>
      <c r="Q22" s="316">
        <f>(I22+J22+K22+L22+M22+N22)/(I21+J21+K21+L21+M21+N21)</f>
        <v>1664.3545748932736</v>
      </c>
      <c r="R22" s="20">
        <f t="shared" si="2"/>
        <v>1577.553538242558</v>
      </c>
    </row>
    <row r="23" spans="1:18" s="106" customFormat="1" ht="13.5" thickBot="1">
      <c r="A23" s="273" t="s">
        <v>6</v>
      </c>
      <c r="B23" s="17" t="s">
        <v>40</v>
      </c>
      <c r="C23" s="107">
        <v>21.79</v>
      </c>
      <c r="D23" s="107">
        <v>17.172</v>
      </c>
      <c r="E23" s="107">
        <v>16.802</v>
      </c>
      <c r="F23" s="107">
        <v>14.3617</v>
      </c>
      <c r="G23" s="63">
        <v>4.7389</v>
      </c>
      <c r="H23" s="107">
        <v>1.372</v>
      </c>
      <c r="I23" s="63">
        <v>1.1468</v>
      </c>
      <c r="J23" s="63">
        <v>1.11581</v>
      </c>
      <c r="K23" s="187">
        <v>2.53</v>
      </c>
      <c r="L23" s="63">
        <v>5.1957</v>
      </c>
      <c r="M23" s="31">
        <v>11.845</v>
      </c>
      <c r="N23" s="66">
        <v>12.977</v>
      </c>
      <c r="O23" s="235">
        <f>D23+E23+F23+G23+H23+I23+J23+K23+L23+M23+N23+C23</f>
        <v>111.04691</v>
      </c>
      <c r="P23" s="108"/>
      <c r="Q23" s="325"/>
      <c r="R23" s="20">
        <f t="shared" si="2"/>
        <v>5.2347895551328006E-05</v>
      </c>
    </row>
    <row r="24" spans="1:18" ht="13.5" thickBot="1">
      <c r="A24" s="274"/>
      <c r="B24" s="17" t="s">
        <v>41</v>
      </c>
      <c r="C24" s="55">
        <v>24210.56</v>
      </c>
      <c r="D24" s="55">
        <v>19079.21</v>
      </c>
      <c r="E24" s="55">
        <v>18668.34</v>
      </c>
      <c r="F24" s="55">
        <v>15956.96</v>
      </c>
      <c r="G24" s="45">
        <v>5265.29</v>
      </c>
      <c r="H24" s="45">
        <v>1524.02</v>
      </c>
      <c r="I24" s="45">
        <v>1427.09</v>
      </c>
      <c r="J24" s="45">
        <v>1388.52</v>
      </c>
      <c r="K24" s="188">
        <v>3148.53</v>
      </c>
      <c r="L24" s="45">
        <v>6465.55</v>
      </c>
      <c r="M24" s="45">
        <v>14739.83</v>
      </c>
      <c r="N24" s="268">
        <v>16148.65</v>
      </c>
      <c r="O24" s="236">
        <f>D24+E24+F24+G24+H24+I24+J24+K24+L24+M24+N24+C24</f>
        <v>128022.54999999999</v>
      </c>
      <c r="P24" s="46">
        <v>1111.08</v>
      </c>
      <c r="Q24" s="316">
        <f>(I24+J24+K24+L24+M24+N24)/(I23+J23+K23+L23+M23+N23)</f>
        <v>1244.4063267463</v>
      </c>
      <c r="R24" s="20">
        <f t="shared" si="2"/>
        <v>1152.8690892884817</v>
      </c>
    </row>
    <row r="25" spans="1:42" ht="13.5" thickBot="1">
      <c r="A25" s="273" t="s">
        <v>48</v>
      </c>
      <c r="B25" s="17" t="s">
        <v>40</v>
      </c>
      <c r="C25" s="109">
        <v>4260.15</v>
      </c>
      <c r="D25" s="107">
        <v>4173.153</v>
      </c>
      <c r="E25" s="107">
        <v>3801.2276</v>
      </c>
      <c r="F25" s="109">
        <v>2303.9667</v>
      </c>
      <c r="G25" s="75"/>
      <c r="H25" s="107"/>
      <c r="I25" s="75"/>
      <c r="J25" s="75"/>
      <c r="K25" s="194"/>
      <c r="L25" s="116">
        <v>1544.6167</v>
      </c>
      <c r="M25" s="252">
        <v>3390.74106</v>
      </c>
      <c r="N25" s="260">
        <v>4003.92124</v>
      </c>
      <c r="O25" s="235">
        <f>D25+E25+F25+G25+H25+I25+J25+K25+L25+M25+N25+C25</f>
        <v>23477.776300000005</v>
      </c>
      <c r="P25" s="108"/>
      <c r="Q25" s="325"/>
      <c r="R25" s="20" t="e">
        <f>O25/#REF!</f>
        <v>#REF!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</row>
    <row r="26" spans="1:18" ht="23.25" customHeight="1" thickBot="1">
      <c r="A26" s="274"/>
      <c r="B26" s="17" t="s">
        <v>41</v>
      </c>
      <c r="C26" s="79">
        <v>5829328.91</v>
      </c>
      <c r="D26" s="55">
        <v>5710292.79</v>
      </c>
      <c r="E26" s="55">
        <v>5201371.72</v>
      </c>
      <c r="F26" s="79">
        <v>3152609.85</v>
      </c>
      <c r="G26" s="43"/>
      <c r="H26" s="45"/>
      <c r="I26" s="43"/>
      <c r="J26" s="43"/>
      <c r="K26" s="196"/>
      <c r="L26" s="43">
        <v>2475433.51</v>
      </c>
      <c r="M26" s="43">
        <v>5434070.16</v>
      </c>
      <c r="N26" s="80">
        <v>6416764.29</v>
      </c>
      <c r="O26" s="236">
        <f>D26+E26+F26+G26+H26+I26+J26+K26+L26+M26+N26+C26</f>
        <v>34219871.230000004</v>
      </c>
      <c r="P26" s="46">
        <f>(C26+D26+E26+F26+G26+H26)/(C25+D25+E25+F25+G25+H25)</f>
        <v>1368.3397162373858</v>
      </c>
      <c r="Q26" s="316">
        <f>(I26+J26+K26+L26+M26+N26)/(I25+J25+K25+L25+M25+N25)</f>
        <v>1602.620072603171</v>
      </c>
      <c r="R26" s="20">
        <f t="shared" si="2"/>
        <v>1457.5431162107118</v>
      </c>
    </row>
    <row r="27" spans="1:18" ht="19.5" customHeight="1" thickBot="1">
      <c r="A27" s="275" t="s">
        <v>49</v>
      </c>
      <c r="B27" s="17" t="s">
        <v>40</v>
      </c>
      <c r="C27" s="75"/>
      <c r="D27" s="75"/>
      <c r="E27" s="75"/>
      <c r="F27" s="75"/>
      <c r="G27" s="116"/>
      <c r="H27" s="75"/>
      <c r="I27" s="75"/>
      <c r="J27" s="75"/>
      <c r="K27" s="75"/>
      <c r="L27" s="116">
        <v>21.08247</v>
      </c>
      <c r="M27" s="116">
        <v>32.257</v>
      </c>
      <c r="N27" s="253">
        <v>43.429</v>
      </c>
      <c r="O27" s="244">
        <f>C27+D27+E27+F27+G27+H27+I27+J27+K27+L27+M27+N27</f>
        <v>96.76847000000001</v>
      </c>
      <c r="P27" s="46"/>
      <c r="Q27" s="316"/>
      <c r="R27" s="20">
        <f t="shared" si="2"/>
        <v>2.8278443641589354E-06</v>
      </c>
    </row>
    <row r="28" spans="1:19" ht="13.5" thickBot="1">
      <c r="A28" s="276"/>
      <c r="B28" s="17" t="s">
        <v>41</v>
      </c>
      <c r="C28" s="43"/>
      <c r="D28" s="43"/>
      <c r="E28" s="43"/>
      <c r="F28" s="43"/>
      <c r="G28" s="43"/>
      <c r="H28" s="43"/>
      <c r="I28" s="43"/>
      <c r="J28" s="43"/>
      <c r="K28" s="43"/>
      <c r="L28" s="43">
        <v>23854.33</v>
      </c>
      <c r="M28" s="43">
        <v>36497.73</v>
      </c>
      <c r="N28" s="80">
        <v>49140</v>
      </c>
      <c r="O28" s="244">
        <f>C28+D28+E28+F28+G28+H28+I28+J28+K28+L28+M28+N28</f>
        <v>109492.06</v>
      </c>
      <c r="P28" s="46"/>
      <c r="Q28" s="316">
        <v>1131.5</v>
      </c>
      <c r="R28" s="20">
        <f>O28/O27</f>
        <v>1131.4848731203458</v>
      </c>
      <c r="S28" s="20"/>
    </row>
    <row r="29" spans="1:42" s="103" customFormat="1" ht="15.75" customHeight="1" thickBot="1">
      <c r="A29" s="275" t="s">
        <v>50</v>
      </c>
      <c r="B29" s="17" t="s">
        <v>40</v>
      </c>
      <c r="C29" s="75"/>
      <c r="D29" s="75"/>
      <c r="E29" s="75"/>
      <c r="F29" s="75"/>
      <c r="G29" s="116"/>
      <c r="H29" s="75"/>
      <c r="I29" s="75"/>
      <c r="J29" s="75"/>
      <c r="K29" s="75"/>
      <c r="L29" s="116">
        <v>111.123</v>
      </c>
      <c r="M29" s="116">
        <v>170.017</v>
      </c>
      <c r="N29" s="253">
        <v>228.909</v>
      </c>
      <c r="O29" s="244">
        <f>C29+D29+E29+F29+G29+H29+I29+J29+K29+L29+M29+N29</f>
        <v>510.049</v>
      </c>
      <c r="P29" s="46"/>
      <c r="Q29" s="316"/>
      <c r="R29" s="20">
        <f t="shared" si="2"/>
        <v>0.004658319516501927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0" customFormat="1" ht="18" customHeight="1" thickBot="1">
      <c r="A30" s="320"/>
      <c r="B30" s="284" t="s">
        <v>41</v>
      </c>
      <c r="C30" s="78"/>
      <c r="D30" s="78"/>
      <c r="E30" s="78"/>
      <c r="F30" s="78"/>
      <c r="G30" s="78"/>
      <c r="H30" s="78"/>
      <c r="I30" s="78"/>
      <c r="J30" s="78"/>
      <c r="K30" s="78"/>
      <c r="L30" s="78">
        <v>165422.18</v>
      </c>
      <c r="M30" s="78">
        <v>253094.21</v>
      </c>
      <c r="N30" s="285">
        <v>340763.28</v>
      </c>
      <c r="O30" s="286">
        <f>C30+D30+E30+F30+G30+H30+I30+J30+K30+L30+M30+N30</f>
        <v>759279.67</v>
      </c>
      <c r="P30" s="46"/>
      <c r="Q30" s="316">
        <f>(I30+J30+K30+L30+M30+N30)/(I29+J29+K29+L29+M29+N29)</f>
        <v>1488.640640409059</v>
      </c>
      <c r="R30" s="20">
        <f t="shared" si="2"/>
        <v>1488.640640409059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06" customFormat="1" ht="23.25" customHeight="1" thickBot="1">
      <c r="A31" s="289" t="s">
        <v>21</v>
      </c>
      <c r="B31" s="293" t="s">
        <v>54</v>
      </c>
      <c r="C31" s="100">
        <f aca="true" t="shared" si="3" ref="C31:K31">C33+C35+C39+C41+C43+C45</f>
        <v>28420.297</v>
      </c>
      <c r="D31" s="100">
        <f t="shared" si="3"/>
        <v>26715.826</v>
      </c>
      <c r="E31" s="100">
        <f t="shared" si="3"/>
        <v>26766.059999999998</v>
      </c>
      <c r="F31" s="100">
        <f t="shared" si="3"/>
        <v>27165.416999999998</v>
      </c>
      <c r="G31" s="100">
        <f t="shared" si="3"/>
        <v>19925.767</v>
      </c>
      <c r="H31" s="100">
        <f t="shared" si="3"/>
        <v>15362.928000000002</v>
      </c>
      <c r="I31" s="113">
        <f t="shared" si="3"/>
        <v>13572.999000000002</v>
      </c>
      <c r="J31" s="6">
        <f t="shared" si="3"/>
        <v>17678.607</v>
      </c>
      <c r="K31" s="190">
        <f t="shared" si="3"/>
        <v>19011.0174</v>
      </c>
      <c r="L31" s="6">
        <f>L33+L35+L39+L41+L43+L45+L47+L37</f>
        <v>25577.6106</v>
      </c>
      <c r="M31" s="113">
        <f>M33+M35+M39+M41+M43+M45+M47+M37</f>
        <v>26363.466700000004</v>
      </c>
      <c r="N31" s="6">
        <f>N33+N35+N39+N41+N43+N45+N37+N47</f>
        <v>25494.7493</v>
      </c>
      <c r="O31" s="290">
        <f>D31+E31+F31+G31+H31+I31+J31+K31+L31+M31+N31+C31-K35</f>
        <v>272054.745</v>
      </c>
      <c r="P31" s="102"/>
      <c r="Q31" s="326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</row>
    <row r="32" spans="1:18" s="20" customFormat="1" ht="13.5" thickBot="1">
      <c r="A32" s="291"/>
      <c r="B32" s="292" t="s">
        <v>41</v>
      </c>
      <c r="C32" s="4">
        <f aca="true" t="shared" si="4" ref="C32:K32">C34+C36+C40+C42+C44+C46</f>
        <v>3605235.2099999995</v>
      </c>
      <c r="D32" s="4">
        <f t="shared" si="4"/>
        <v>3367451.84</v>
      </c>
      <c r="E32" s="4">
        <f t="shared" si="4"/>
        <v>3394446.1700000004</v>
      </c>
      <c r="F32" s="4">
        <f t="shared" si="4"/>
        <v>3430579.67</v>
      </c>
      <c r="G32" s="6">
        <f t="shared" si="4"/>
        <v>2506323.6900000004</v>
      </c>
      <c r="H32" s="4">
        <f t="shared" si="4"/>
        <v>1996490.2</v>
      </c>
      <c r="I32" s="4">
        <f t="shared" si="4"/>
        <v>1794394.81</v>
      </c>
      <c r="J32" s="4">
        <f t="shared" si="4"/>
        <v>2484280.83</v>
      </c>
      <c r="K32" s="195">
        <f t="shared" si="4"/>
        <v>2735232.62</v>
      </c>
      <c r="L32" s="4">
        <f>L34+L36+L40+L42+L44+L46+L48+L38</f>
        <v>3772679.1699999995</v>
      </c>
      <c r="M32" s="4">
        <f>M34+M36+M40+M42+M44+M46+M48+M38</f>
        <v>3895850.41</v>
      </c>
      <c r="N32" s="4">
        <f>N34+N36+N40+N42+N44+N46+N38+N48</f>
        <v>3758605.2400000007</v>
      </c>
      <c r="O32" s="93">
        <f>D32+E32+F32+G32+H32+I32+J32+K32+L32+M32+N32+C32-K36</f>
        <v>36741569.86</v>
      </c>
      <c r="P32" s="46"/>
      <c r="Q32" s="316"/>
      <c r="R32" s="20">
        <f aca="true" t="shared" si="5" ref="R32:R69">O32/O31</f>
        <v>135.05211923431074</v>
      </c>
    </row>
    <row r="33" spans="1:18" s="106" customFormat="1" ht="17.25" customHeight="1" thickBot="1">
      <c r="A33" s="317" t="s">
        <v>34</v>
      </c>
      <c r="B33" s="17" t="s">
        <v>44</v>
      </c>
      <c r="C33" s="72">
        <v>304.12</v>
      </c>
      <c r="D33" s="72">
        <v>280</v>
      </c>
      <c r="E33" s="72">
        <v>274.973</v>
      </c>
      <c r="F33" s="72">
        <v>269.117</v>
      </c>
      <c r="G33" s="81">
        <v>317.843</v>
      </c>
      <c r="H33" s="72">
        <v>173.452</v>
      </c>
      <c r="I33" s="81">
        <v>213.25</v>
      </c>
      <c r="J33" s="81">
        <v>254.792</v>
      </c>
      <c r="K33" s="270">
        <v>315.094</v>
      </c>
      <c r="L33" s="81">
        <v>274.725</v>
      </c>
      <c r="M33" s="81">
        <v>235.812</v>
      </c>
      <c r="N33" s="287">
        <v>282.947</v>
      </c>
      <c r="O33" s="288">
        <f>D33+E33+F33+G33+H33+I33+J33+K33+L33+M33+N33+C33</f>
        <v>3196.1249999999995</v>
      </c>
      <c r="P33" s="105"/>
      <c r="Q33" s="325"/>
      <c r="R33" s="20">
        <f t="shared" si="5"/>
        <v>8.698934237645553E-05</v>
      </c>
    </row>
    <row r="34" spans="1:18" s="20" customFormat="1" ht="13.5" thickBot="1">
      <c r="A34" s="318"/>
      <c r="B34" s="267" t="s">
        <v>41</v>
      </c>
      <c r="C34" s="69">
        <v>62636.55</v>
      </c>
      <c r="D34" s="69">
        <v>57668.23</v>
      </c>
      <c r="E34" s="69">
        <v>56633.44</v>
      </c>
      <c r="F34" s="69">
        <v>55427.34</v>
      </c>
      <c r="G34" s="44">
        <v>65464.05</v>
      </c>
      <c r="H34" s="44">
        <v>35722.78</v>
      </c>
      <c r="I34" s="44">
        <v>55623.38</v>
      </c>
      <c r="J34" s="44">
        <v>66460.06</v>
      </c>
      <c r="K34" s="192">
        <v>82193.83</v>
      </c>
      <c r="L34" s="44">
        <v>71661.56</v>
      </c>
      <c r="M34" s="44">
        <v>61511.6</v>
      </c>
      <c r="N34" s="70">
        <v>73806.72</v>
      </c>
      <c r="O34" s="236">
        <f>D34+E34+F34+G34+H34+I34+J34+K34+L34+M34+N34+C34</f>
        <v>744809.5399999999</v>
      </c>
      <c r="P34" s="46">
        <f>(C34+D34+E34+F34+G34+H34)/(C33+D33+E33+F33+G33+H33)</f>
        <v>205.9594690970389</v>
      </c>
      <c r="Q34" s="316">
        <f>(I34+J34+K34+L34+M34+N34)/(I33+J33+K33+L33+M33+N33)</f>
        <v>260.84735066154184</v>
      </c>
      <c r="R34" s="20">
        <f t="shared" si="5"/>
        <v>233.03517227893153</v>
      </c>
    </row>
    <row r="35" spans="1:42" ht="15" customHeight="1" thickBot="1">
      <c r="A35" s="273" t="s">
        <v>45</v>
      </c>
      <c r="B35" s="17" t="s">
        <v>44</v>
      </c>
      <c r="C35" s="107">
        <v>339.741</v>
      </c>
      <c r="D35" s="107">
        <v>374.154</v>
      </c>
      <c r="E35" s="107">
        <v>375.231</v>
      </c>
      <c r="F35" s="107">
        <v>379.876</v>
      </c>
      <c r="G35" s="31">
        <v>200.894</v>
      </c>
      <c r="H35" s="107">
        <v>79.829</v>
      </c>
      <c r="I35" s="31">
        <v>84.703</v>
      </c>
      <c r="J35" s="31">
        <v>56.079</v>
      </c>
      <c r="K35" s="187"/>
      <c r="L35" s="31"/>
      <c r="M35" s="31"/>
      <c r="N35" s="32"/>
      <c r="O35" s="235">
        <f>D35+E35+F35+G35+H35+I35+J35+L35+M35+N35+C35</f>
        <v>1890.5069999999998</v>
      </c>
      <c r="P35" s="105"/>
      <c r="Q35" s="325"/>
      <c r="R35" s="20">
        <f t="shared" si="5"/>
        <v>0.002538242192762461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</row>
    <row r="36" spans="1:42" ht="18.75" customHeight="1" thickBot="1">
      <c r="A36" s="274"/>
      <c r="B36" s="267" t="s">
        <v>41</v>
      </c>
      <c r="C36" s="55">
        <v>28405.3</v>
      </c>
      <c r="D36" s="55">
        <v>31285.99</v>
      </c>
      <c r="E36" s="55">
        <v>31373.22</v>
      </c>
      <c r="F36" s="55">
        <v>31760.75</v>
      </c>
      <c r="G36" s="45">
        <v>16796.07</v>
      </c>
      <c r="H36" s="45">
        <v>6674.58</v>
      </c>
      <c r="I36" s="45">
        <v>7517.8</v>
      </c>
      <c r="J36" s="45">
        <v>4977.33</v>
      </c>
      <c r="K36" s="188"/>
      <c r="L36" s="45"/>
      <c r="M36" s="45"/>
      <c r="N36" s="71"/>
      <c r="O36" s="236">
        <f>D36+E36+F36+G36+H36+I36+J36+L36+M36+N36+C36</f>
        <v>158791.04</v>
      </c>
      <c r="P36" s="46">
        <f>(C36+D36+E36+F36+G36+H36)/(C35+D35+E35+F35+G35+H35)</f>
        <v>83.6108016974096</v>
      </c>
      <c r="Q36" s="316">
        <v>88.75</v>
      </c>
      <c r="R36" s="20">
        <f t="shared" si="5"/>
        <v>83.99389158569633</v>
      </c>
      <c r="S36" s="202" t="s">
        <v>29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106" customFormat="1" ht="23.25" customHeight="1" thickBot="1">
      <c r="A37" s="275" t="s">
        <v>46</v>
      </c>
      <c r="B37" s="17" t="s">
        <v>44</v>
      </c>
      <c r="C37" s="31"/>
      <c r="D37" s="31"/>
      <c r="E37" s="31"/>
      <c r="F37" s="31"/>
      <c r="G37" s="31"/>
      <c r="H37" s="31"/>
      <c r="I37" s="31"/>
      <c r="J37" s="31"/>
      <c r="K37" s="31"/>
      <c r="L37" s="31">
        <v>191.86</v>
      </c>
      <c r="M37" s="31">
        <v>349.342</v>
      </c>
      <c r="N37" s="32">
        <v>283.413</v>
      </c>
      <c r="O37" s="242">
        <f>C37+D37+E37+F37+G37+H37+I37+J37+K37+L37+M37+N37</f>
        <v>824.615</v>
      </c>
      <c r="P37" s="46"/>
      <c r="Q37" s="316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0" customFormat="1" ht="22.5" customHeight="1" thickBot="1">
      <c r="A38" s="276"/>
      <c r="B38" s="267" t="s">
        <v>41</v>
      </c>
      <c r="C38" s="45"/>
      <c r="D38" s="45"/>
      <c r="E38" s="45"/>
      <c r="F38" s="45"/>
      <c r="G38" s="45"/>
      <c r="H38" s="45"/>
      <c r="I38" s="45"/>
      <c r="J38" s="45"/>
      <c r="K38" s="45"/>
      <c r="L38" s="45">
        <v>20371.61</v>
      </c>
      <c r="M38" s="31">
        <v>37092.16</v>
      </c>
      <c r="N38" s="71">
        <v>30091.69</v>
      </c>
      <c r="O38" s="243">
        <f>C38+D38+E38+F38+G38+H38+I38+J38+K38+L38+M38+N38</f>
        <v>87555.46</v>
      </c>
      <c r="P38" s="46"/>
      <c r="Q38" s="316">
        <f>(I38+J38+K38+L38+M38+N38)/(I37+J37+K37+L37+M37+N37)</f>
        <v>106.17737974691221</v>
      </c>
      <c r="R38"/>
      <c r="S38" s="20">
        <f>O34+O36+O38+O40+O42+O44+O46+O48</f>
        <v>36741569.86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18" s="106" customFormat="1" ht="19.5" customHeight="1" thickBot="1">
      <c r="A39" s="273" t="s">
        <v>22</v>
      </c>
      <c r="B39" s="17" t="s">
        <v>44</v>
      </c>
      <c r="C39" s="107">
        <v>16136.713</v>
      </c>
      <c r="D39" s="107">
        <v>14550.953</v>
      </c>
      <c r="E39" s="107">
        <v>14899.938</v>
      </c>
      <c r="F39" s="107">
        <v>14952.017</v>
      </c>
      <c r="G39" s="63">
        <v>10076.785</v>
      </c>
      <c r="H39" s="107">
        <v>9050.901</v>
      </c>
      <c r="I39" s="81">
        <v>2797.97</v>
      </c>
      <c r="J39" s="31">
        <v>6669.488</v>
      </c>
      <c r="K39" s="187">
        <v>8268.4074</v>
      </c>
      <c r="L39" s="31">
        <v>13731.4406</v>
      </c>
      <c r="M39" s="63">
        <v>14592.2697</v>
      </c>
      <c r="N39" s="261">
        <f>14804.0003-1051.47</f>
        <v>13752.5303</v>
      </c>
      <c r="O39" s="235">
        <f>D39+E39+F39+G39+H39+I39+J39+K39+L39+M39+N39+C39</f>
        <v>139479.413</v>
      </c>
      <c r="P39" s="105"/>
      <c r="Q39" s="325"/>
      <c r="R39" s="20">
        <f>O39/O36</f>
        <v>0.8783833961916239</v>
      </c>
    </row>
    <row r="40" spans="1:42" ht="13.5" thickBot="1">
      <c r="A40" s="274"/>
      <c r="B40" s="267" t="s">
        <v>41</v>
      </c>
      <c r="C40" s="55">
        <v>2312769.26</v>
      </c>
      <c r="D40" s="55">
        <v>2089887.05</v>
      </c>
      <c r="E40" s="55">
        <v>2148558.85</v>
      </c>
      <c r="F40" s="55">
        <v>2156026.41</v>
      </c>
      <c r="G40" s="45">
        <v>1457291.52</v>
      </c>
      <c r="H40" s="55">
        <v>1319614.64</v>
      </c>
      <c r="I40" s="45">
        <v>471099.75</v>
      </c>
      <c r="J40" s="45">
        <v>1126499.31</v>
      </c>
      <c r="K40" s="188">
        <v>1398402.01</v>
      </c>
      <c r="L40" s="45">
        <v>2313364.88</v>
      </c>
      <c r="M40" s="45">
        <v>2456381.09</v>
      </c>
      <c r="N40" s="262">
        <f>2490822.86-176110.74</f>
        <v>2314712.12</v>
      </c>
      <c r="O40" s="236">
        <f>D40+E40+F40+G40+H40+I40+J40+K40+L40+M40+N40+C40</f>
        <v>21564606.89</v>
      </c>
      <c r="P40" s="46">
        <v>143.32</v>
      </c>
      <c r="Q40" s="316">
        <v>167.49</v>
      </c>
      <c r="R40" s="20">
        <f t="shared" si="5"/>
        <v>154.60781219376082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18" s="106" customFormat="1" ht="23.25" customHeight="1" thickBot="1">
      <c r="A41" s="273" t="s">
        <v>23</v>
      </c>
      <c r="B41" s="17" t="s">
        <v>44</v>
      </c>
      <c r="C41" s="107">
        <v>515.228</v>
      </c>
      <c r="D41" s="107">
        <v>533.344</v>
      </c>
      <c r="E41" s="107">
        <v>432.175</v>
      </c>
      <c r="F41" s="107">
        <v>492.348</v>
      </c>
      <c r="G41" s="31">
        <v>535.681</v>
      </c>
      <c r="H41" s="107">
        <v>516.166</v>
      </c>
      <c r="I41" s="31">
        <v>469.292</v>
      </c>
      <c r="J41" s="31">
        <v>499.272</v>
      </c>
      <c r="K41" s="187">
        <v>494.08</v>
      </c>
      <c r="L41" s="31">
        <v>469.054</v>
      </c>
      <c r="M41" s="31">
        <v>348.161</v>
      </c>
      <c r="N41" s="32">
        <v>468.577</v>
      </c>
      <c r="O41" s="235">
        <f>D41+E41+F41+G41+H41+I41+J41+K41+L41+M41+N41+C41</f>
        <v>5773.378</v>
      </c>
      <c r="P41" s="105"/>
      <c r="Q41" s="325"/>
      <c r="R41" s="20">
        <f t="shared" si="5"/>
        <v>0.00026772470416222826</v>
      </c>
    </row>
    <row r="42" spans="1:42" s="20" customFormat="1" ht="13.5" thickBot="1">
      <c r="A42" s="274"/>
      <c r="B42" s="267" t="s">
        <v>41</v>
      </c>
      <c r="C42" s="55">
        <v>52461.44</v>
      </c>
      <c r="D42" s="55">
        <v>54306.26</v>
      </c>
      <c r="E42" s="55">
        <v>44004.95</v>
      </c>
      <c r="F42" s="55">
        <v>50131.96</v>
      </c>
      <c r="G42" s="45">
        <v>54544.21</v>
      </c>
      <c r="H42" s="45">
        <v>52557.15</v>
      </c>
      <c r="I42" s="45">
        <v>51212.14</v>
      </c>
      <c r="J42" s="45">
        <v>54483.75</v>
      </c>
      <c r="K42" s="188">
        <v>53917.17</v>
      </c>
      <c r="L42" s="45">
        <v>51186.17</v>
      </c>
      <c r="M42" s="45">
        <v>37993.56</v>
      </c>
      <c r="N42" s="71">
        <v>51134.12</v>
      </c>
      <c r="O42" s="236">
        <f>D42+E42+F42+G42+H42+I42+J42+K42+L42+M42+N42+C42</f>
        <v>607932.8799999999</v>
      </c>
      <c r="P42" s="46">
        <v>101.83</v>
      </c>
      <c r="Q42" s="316">
        <f>(I42+J42+K42+L42+M42+N42)/(I41+J41+K41+L41+M41+N41)</f>
        <v>109.12639406557038</v>
      </c>
      <c r="R42" s="20">
        <f t="shared" si="5"/>
        <v>105.2993377533915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18" s="106" customFormat="1" ht="25.5" customHeight="1" thickBot="1">
      <c r="A43" s="273" t="s">
        <v>48</v>
      </c>
      <c r="B43" s="17" t="s">
        <v>44</v>
      </c>
      <c r="C43" s="107">
        <v>10652.2</v>
      </c>
      <c r="D43" s="107">
        <v>10498.4</v>
      </c>
      <c r="E43" s="107">
        <v>10323.3</v>
      </c>
      <c r="F43" s="107">
        <v>10754.1</v>
      </c>
      <c r="G43" s="31">
        <v>8323.78</v>
      </c>
      <c r="H43" s="107">
        <v>5075.3</v>
      </c>
      <c r="I43" s="31">
        <v>9548.2</v>
      </c>
      <c r="J43" s="31">
        <v>9739.46</v>
      </c>
      <c r="K43" s="187">
        <v>9477.6</v>
      </c>
      <c r="L43" s="31">
        <v>10197.43</v>
      </c>
      <c r="M43" s="31">
        <v>10230.75</v>
      </c>
      <c r="N43" s="32">
        <v>10074.287</v>
      </c>
      <c r="O43" s="235">
        <f>D43+E43+F43+G43+H43+I43+J43+K43+L43+M43+N43+C43</f>
        <v>114894.807</v>
      </c>
      <c r="P43" s="105"/>
      <c r="Q43" s="325"/>
      <c r="R43" s="20">
        <f t="shared" si="5"/>
        <v>0.1889925858262511</v>
      </c>
    </row>
    <row r="44" spans="1:42" ht="15" customHeight="1" thickBot="1">
      <c r="A44" s="274"/>
      <c r="B44" s="267" t="s">
        <v>41</v>
      </c>
      <c r="C44" s="60">
        <v>1081411.34</v>
      </c>
      <c r="D44" s="60">
        <v>1065797.57</v>
      </c>
      <c r="E44" s="60">
        <v>1048021.42</v>
      </c>
      <c r="F44" s="60">
        <v>1091756.23</v>
      </c>
      <c r="G44" s="33">
        <v>844892.64</v>
      </c>
      <c r="H44" s="33">
        <v>515087.02</v>
      </c>
      <c r="I44" s="73">
        <v>1138430.71</v>
      </c>
      <c r="J44" s="73">
        <v>1161359.88</v>
      </c>
      <c r="K44" s="193">
        <v>1130783.61</v>
      </c>
      <c r="L44" s="73">
        <v>1216859.32</v>
      </c>
      <c r="M44" s="73">
        <v>1220835.39</v>
      </c>
      <c r="N44" s="74">
        <v>1202164.67</v>
      </c>
      <c r="O44" s="236">
        <f>D44+E44+F44+G44+H44+I44+J44+K44+L44+M44+N44+C44</f>
        <v>12717399.8</v>
      </c>
      <c r="P44" s="46">
        <v>101.52</v>
      </c>
      <c r="Q44" s="316">
        <v>119.28</v>
      </c>
      <c r="R44" s="20">
        <f t="shared" si="5"/>
        <v>110.68733332743228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23.25" customHeight="1" thickBot="1">
      <c r="A45" s="273" t="s">
        <v>47</v>
      </c>
      <c r="B45" s="17" t="s">
        <v>44</v>
      </c>
      <c r="C45" s="107">
        <v>472.295</v>
      </c>
      <c r="D45" s="107">
        <v>478.975</v>
      </c>
      <c r="E45" s="107">
        <v>460.443</v>
      </c>
      <c r="F45" s="107">
        <v>317.959</v>
      </c>
      <c r="G45" s="31">
        <v>470.784</v>
      </c>
      <c r="H45" s="107">
        <v>467.28</v>
      </c>
      <c r="I45" s="31">
        <v>459.584</v>
      </c>
      <c r="J45" s="31">
        <v>459.516</v>
      </c>
      <c r="K45" s="187">
        <v>455.836</v>
      </c>
      <c r="L45" s="31">
        <v>554.801</v>
      </c>
      <c r="M45" s="31">
        <v>434.177</v>
      </c>
      <c r="N45" s="32">
        <v>470.796</v>
      </c>
      <c r="O45" s="235">
        <f>D45+E45+F45+G45+H45+I45+J45+K45+L45+M45+N45+C45</f>
        <v>5502.446</v>
      </c>
      <c r="P45" s="105"/>
      <c r="Q45" s="325"/>
      <c r="R45" s="20">
        <f t="shared" si="5"/>
        <v>0.0004326706784825621</v>
      </c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</row>
    <row r="46" spans="1:18" ht="13.5" thickBot="1">
      <c r="A46" s="274"/>
      <c r="B46" s="267" t="s">
        <v>41</v>
      </c>
      <c r="C46" s="69">
        <v>67551.32</v>
      </c>
      <c r="D46" s="55">
        <v>68506.74</v>
      </c>
      <c r="E46" s="55">
        <v>65854.29</v>
      </c>
      <c r="F46" s="69">
        <v>45476.98</v>
      </c>
      <c r="G46" s="44">
        <v>67335.2</v>
      </c>
      <c r="H46" s="44">
        <v>66834.03</v>
      </c>
      <c r="I46" s="44">
        <v>70511.03</v>
      </c>
      <c r="J46" s="44">
        <v>70500.5</v>
      </c>
      <c r="K46" s="192">
        <v>69936</v>
      </c>
      <c r="L46" s="44">
        <v>85119.57</v>
      </c>
      <c r="M46" s="44">
        <v>66612.99</v>
      </c>
      <c r="N46" s="70">
        <v>72231.22</v>
      </c>
      <c r="O46" s="236">
        <f>D46+E46+F46+G46+H46+I46+J46+K46+L46+M46+N46+C46</f>
        <v>816469.8700000001</v>
      </c>
      <c r="P46" s="46">
        <f>(C46+D46+E46+F46+G46+H46)/(C45+D45+E45+F45+G45+H45)</f>
        <v>143.02710613044167</v>
      </c>
      <c r="Q46" s="316">
        <f>(I46+J46+K46+L46+M46+N46)/(I45+J45+K45+L45+M45+N45)</f>
        <v>153.4235636096814</v>
      </c>
      <c r="R46" s="20">
        <f t="shared" si="5"/>
        <v>148.3830772714535</v>
      </c>
    </row>
    <row r="47" spans="1:42" s="103" customFormat="1" ht="15" customHeight="1" thickBot="1">
      <c r="A47" s="275" t="s">
        <v>49</v>
      </c>
      <c r="B47" s="17" t="s">
        <v>44</v>
      </c>
      <c r="C47" s="75"/>
      <c r="D47" s="75"/>
      <c r="E47" s="75"/>
      <c r="F47" s="75"/>
      <c r="G47" s="116"/>
      <c r="H47" s="75"/>
      <c r="I47" s="75"/>
      <c r="J47" s="75"/>
      <c r="K47" s="75"/>
      <c r="L47" s="116">
        <v>158.3</v>
      </c>
      <c r="M47" s="116">
        <v>172.955</v>
      </c>
      <c r="N47" s="253">
        <v>162.199</v>
      </c>
      <c r="O47" s="244">
        <f>C47+D47+E47+F47+G47+H47+I47+J47+K47+L47+M47+N47</f>
        <v>493.454</v>
      </c>
      <c r="P47" s="46"/>
      <c r="Q47" s="3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20" customFormat="1" ht="16.5" customHeight="1" thickBot="1">
      <c r="A48" s="276"/>
      <c r="B48" s="296" t="s">
        <v>41</v>
      </c>
      <c r="C48" s="43"/>
      <c r="D48" s="43"/>
      <c r="E48" s="43"/>
      <c r="F48" s="43"/>
      <c r="G48" s="43"/>
      <c r="H48" s="43"/>
      <c r="I48" s="43"/>
      <c r="J48" s="43"/>
      <c r="K48" s="43"/>
      <c r="L48" s="43">
        <v>14116.06</v>
      </c>
      <c r="M48" s="78">
        <v>15423.62</v>
      </c>
      <c r="N48" s="80">
        <v>14464.7</v>
      </c>
      <c r="O48" s="244">
        <f>C48+D48+E48+F48+G48+H48+I48+J48+K48+L48+M48+N48</f>
        <v>44004.380000000005</v>
      </c>
      <c r="P48" s="46"/>
      <c r="Q48" s="316">
        <v>89.17</v>
      </c>
      <c r="R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06" customFormat="1" ht="15.75" customHeight="1" thickBot="1">
      <c r="A49" s="289" t="s">
        <v>24</v>
      </c>
      <c r="B49" s="295" t="s">
        <v>44</v>
      </c>
      <c r="C49" s="100">
        <f aca="true" t="shared" si="6" ref="C49:J49">SUM(C51,C53,C55,C59,C61,C63,C65,C67,C69)</f>
        <v>78213.78499999999</v>
      </c>
      <c r="D49" s="100">
        <f t="shared" si="6"/>
        <v>74896.381</v>
      </c>
      <c r="E49" s="100">
        <f t="shared" si="6"/>
        <v>77511.20400000001</v>
      </c>
      <c r="F49" s="100">
        <f t="shared" si="6"/>
        <v>78176.09499999999</v>
      </c>
      <c r="G49" s="6">
        <f t="shared" si="6"/>
        <v>78366.01</v>
      </c>
      <c r="H49" s="100">
        <f t="shared" si="6"/>
        <v>76751.694</v>
      </c>
      <c r="I49" s="6">
        <f t="shared" si="6"/>
        <v>77380.186</v>
      </c>
      <c r="J49" s="6">
        <f t="shared" si="6"/>
        <v>77158.628</v>
      </c>
      <c r="K49" s="190">
        <f aca="true" t="shared" si="7" ref="K49:M50">SUM(K51,K53,K55,K59,K61,K63,K65,K67,K69,K57)</f>
        <v>77695.50100000002</v>
      </c>
      <c r="L49" s="6">
        <f t="shared" si="7"/>
        <v>75965.54099999998</v>
      </c>
      <c r="M49" s="6">
        <f t="shared" si="7"/>
        <v>75185.21599999999</v>
      </c>
      <c r="N49" s="113">
        <f>SUM(N51,N53,N57,N59,N61,N63,N65,N67,N69)</f>
        <v>72091.23999999999</v>
      </c>
      <c r="O49" s="101">
        <f>D49+E49+F49+G49+H49+I49+J49+K49+L49+M49+N49+C49</f>
        <v>919391.481</v>
      </c>
      <c r="P49" s="102"/>
      <c r="Q49" s="326"/>
      <c r="R49" s="20">
        <f>O49/O46</f>
        <v>1.1260568390600867</v>
      </c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</row>
    <row r="50" spans="1:42" ht="13.5" thickBot="1">
      <c r="A50" s="291"/>
      <c r="B50" s="295" t="s">
        <v>41</v>
      </c>
      <c r="C50" s="4">
        <f aca="true" t="shared" si="8" ref="C50:J50">SUM(C52,C54,C56,C60,C62,C64,C66,C68,C70)</f>
        <v>1586694.73</v>
      </c>
      <c r="D50" s="4">
        <f t="shared" si="8"/>
        <v>1522911.23</v>
      </c>
      <c r="E50" s="4">
        <f t="shared" si="8"/>
        <v>1566117.95</v>
      </c>
      <c r="F50" s="4">
        <f t="shared" si="8"/>
        <v>1580805.27</v>
      </c>
      <c r="G50" s="4">
        <f t="shared" si="8"/>
        <v>1581537.91</v>
      </c>
      <c r="H50" s="4">
        <f t="shared" si="8"/>
        <v>1551425.66</v>
      </c>
      <c r="I50" s="4">
        <f t="shared" si="8"/>
        <v>1739615.94</v>
      </c>
      <c r="J50" s="4">
        <f t="shared" si="8"/>
        <v>1739892.01</v>
      </c>
      <c r="K50" s="195">
        <f t="shared" si="7"/>
        <v>1777021.9300000002</v>
      </c>
      <c r="L50" s="4">
        <f t="shared" si="7"/>
        <v>1740944.12</v>
      </c>
      <c r="M50" s="4">
        <f t="shared" si="7"/>
        <v>1732387.9100000001</v>
      </c>
      <c r="N50" s="4">
        <f>SUM(N52,N54,N58,N60,N62,N64,N66,N68,N70)</f>
        <v>1660539.8499999999</v>
      </c>
      <c r="O50" s="23">
        <f>D50+E50+F50+G50+H50+I50+J50+K50+L50+M50+N50+C50</f>
        <v>19779894.51</v>
      </c>
      <c r="P50" s="46"/>
      <c r="Q50" s="316"/>
      <c r="R50" s="20">
        <f t="shared" si="5"/>
        <v>21.514115497878972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18" s="106" customFormat="1" ht="18" customHeight="1" thickBot="1">
      <c r="A51" s="317" t="s">
        <v>33</v>
      </c>
      <c r="B51" s="17" t="s">
        <v>44</v>
      </c>
      <c r="C51" s="110">
        <v>153.3</v>
      </c>
      <c r="D51" s="110">
        <v>151.1</v>
      </c>
      <c r="E51" s="110">
        <v>151</v>
      </c>
      <c r="F51" s="109">
        <v>151.1</v>
      </c>
      <c r="G51" s="8">
        <v>151.1</v>
      </c>
      <c r="H51" s="110">
        <v>151.1</v>
      </c>
      <c r="I51" s="117">
        <v>151.1</v>
      </c>
      <c r="J51" s="117">
        <v>151.1</v>
      </c>
      <c r="K51" s="194">
        <v>102.607</v>
      </c>
      <c r="L51" s="117">
        <v>151.1</v>
      </c>
      <c r="M51" s="117">
        <v>151.1</v>
      </c>
      <c r="N51" s="255">
        <v>151.1</v>
      </c>
      <c r="O51" s="235">
        <f>D51+E51+F51+G51+H51+I51+J51+K51+L51+M51+N51+C51</f>
        <v>1766.8069999999998</v>
      </c>
      <c r="P51" s="105"/>
      <c r="Q51" s="325"/>
      <c r="R51" s="20">
        <f t="shared" si="5"/>
        <v>8.932337829743054E-05</v>
      </c>
    </row>
    <row r="52" spans="1:18" ht="13.5" thickBot="1">
      <c r="A52" s="318"/>
      <c r="B52" s="267" t="s">
        <v>41</v>
      </c>
      <c r="C52" s="53">
        <v>4151.52</v>
      </c>
      <c r="D52" s="53">
        <v>4091.95</v>
      </c>
      <c r="E52" s="53">
        <v>4091.95</v>
      </c>
      <c r="F52" s="76">
        <v>4091.95</v>
      </c>
      <c r="G52" s="8">
        <v>4091.95</v>
      </c>
      <c r="H52" s="8">
        <v>4091.95</v>
      </c>
      <c r="I52" s="8">
        <v>5288.32</v>
      </c>
      <c r="J52" s="8">
        <v>5288.32</v>
      </c>
      <c r="K52" s="194">
        <v>3591.22</v>
      </c>
      <c r="L52" s="8">
        <v>5288.33</v>
      </c>
      <c r="M52" s="8">
        <v>5288.32</v>
      </c>
      <c r="N52" s="11">
        <v>5288.32</v>
      </c>
      <c r="O52" s="236">
        <f>D52+E52+F52+G52+H52+I52+J52+K52+L52+M52+N52+C52</f>
        <v>54644.100000000006</v>
      </c>
      <c r="P52" s="46">
        <f>(C52+D52+E52+F52+G52+H52)/(C51+D51+E51+F51+G51+H51)</f>
        <v>27.08404313854958</v>
      </c>
      <c r="Q52" s="316">
        <f>(I52+J52+K52+L52+M52+N52)/(I51+J51+K51+L51+M51+N51)</f>
        <v>34.99893369941044</v>
      </c>
      <c r="R52" s="20">
        <f t="shared" si="5"/>
        <v>30.928165894746858</v>
      </c>
    </row>
    <row r="53" spans="1:19" s="106" customFormat="1" ht="15" customHeight="1" thickBot="1">
      <c r="A53" s="319" t="s">
        <v>34</v>
      </c>
      <c r="B53" s="17" t="s">
        <v>44</v>
      </c>
      <c r="C53" s="111">
        <v>414.2</v>
      </c>
      <c r="D53" s="111">
        <v>401</v>
      </c>
      <c r="E53" s="111">
        <v>408.05</v>
      </c>
      <c r="F53" s="112">
        <v>406.59</v>
      </c>
      <c r="G53" s="9">
        <v>415.4</v>
      </c>
      <c r="H53" s="111">
        <v>380.6</v>
      </c>
      <c r="I53" s="9">
        <v>397.22</v>
      </c>
      <c r="J53" s="114">
        <v>414.78</v>
      </c>
      <c r="K53" s="196">
        <v>433.41</v>
      </c>
      <c r="L53" s="114">
        <v>373.05</v>
      </c>
      <c r="M53" s="114">
        <v>395.1</v>
      </c>
      <c r="N53" s="254">
        <v>412.34</v>
      </c>
      <c r="O53" s="235">
        <f>D53+E53+F53+G53+H53+I53+J53+K53+L53+M53+N53+C53</f>
        <v>4851.739999999999</v>
      </c>
      <c r="P53" s="105"/>
      <c r="Q53" s="325"/>
      <c r="R53" s="20">
        <f t="shared" si="5"/>
        <v>0.08878799358027671</v>
      </c>
      <c r="S53" s="50">
        <f>O52+O54+O56+O58+O60+O62+O64+O66+O68+O70</f>
        <v>19779894.509999998</v>
      </c>
    </row>
    <row r="54" spans="1:18" ht="13.5" thickBot="1">
      <c r="A54" s="318"/>
      <c r="B54" s="267" t="s">
        <v>41</v>
      </c>
      <c r="C54" s="54">
        <v>11241.39</v>
      </c>
      <c r="D54" s="54">
        <v>10883.14</v>
      </c>
      <c r="E54" s="54">
        <v>11074.48</v>
      </c>
      <c r="F54" s="79">
        <v>11034.85</v>
      </c>
      <c r="G54" s="9">
        <v>11273.96</v>
      </c>
      <c r="H54" s="9">
        <v>10329.48</v>
      </c>
      <c r="I54" s="9">
        <v>13410.06</v>
      </c>
      <c r="J54" s="9">
        <v>14002.89</v>
      </c>
      <c r="K54" s="196">
        <v>14631.83</v>
      </c>
      <c r="L54" s="9">
        <v>12594.09</v>
      </c>
      <c r="M54" s="9">
        <v>13338.5</v>
      </c>
      <c r="N54" s="12">
        <v>13920.52</v>
      </c>
      <c r="O54" s="236">
        <f>D54+E54+F54+G54+H54+I54+J54+K54+L54+M54+N54+C54</f>
        <v>147735.19</v>
      </c>
      <c r="P54" s="46">
        <f>(C54+D54+E54+F54+G54+H54)/(C53+D53+E53+F53+G53+H53)</f>
        <v>27.140000989348017</v>
      </c>
      <c r="Q54" s="316">
        <f>(I54+J54+K54+L54+M54+N54)/(I53+J53+K53+L53+M53+N53)</f>
        <v>33.75979636423595</v>
      </c>
      <c r="R54" s="20">
        <f t="shared" si="5"/>
        <v>30.449939609294816</v>
      </c>
    </row>
    <row r="55" spans="1:42" ht="15" customHeight="1" thickBot="1">
      <c r="A55" s="273" t="s">
        <v>45</v>
      </c>
      <c r="B55" s="17" t="s">
        <v>44</v>
      </c>
      <c r="C55" s="111">
        <v>8293.17</v>
      </c>
      <c r="D55" s="111">
        <v>8360.38</v>
      </c>
      <c r="E55" s="111">
        <v>7908.6</v>
      </c>
      <c r="F55" s="112">
        <v>8218.07</v>
      </c>
      <c r="G55" s="9">
        <v>7867.49</v>
      </c>
      <c r="H55" s="111">
        <v>7991.162</v>
      </c>
      <c r="I55" s="114">
        <v>8093.895</v>
      </c>
      <c r="J55" s="114">
        <v>8174.28</v>
      </c>
      <c r="K55" s="196"/>
      <c r="L55" s="114"/>
      <c r="M55" s="9"/>
      <c r="N55" s="12"/>
      <c r="O55" s="235">
        <f>D55+E55+F55+G55+H55+I55+J55+K55+L55+M55+N55+C55</f>
        <v>64907.047000000006</v>
      </c>
      <c r="P55" s="105"/>
      <c r="Q55" s="325"/>
      <c r="R55" s="20">
        <f t="shared" si="5"/>
        <v>0.4393472333842736</v>
      </c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</row>
    <row r="56" spans="1:18" ht="21.75" customHeight="1" thickBot="1">
      <c r="A56" s="274"/>
      <c r="B56" s="267" t="s">
        <v>41</v>
      </c>
      <c r="C56" s="54">
        <v>177639.69</v>
      </c>
      <c r="D56" s="54">
        <v>179037.64</v>
      </c>
      <c r="E56" s="54">
        <v>169362.1</v>
      </c>
      <c r="F56" s="79">
        <v>175989.98</v>
      </c>
      <c r="G56" s="9">
        <v>168482.28</v>
      </c>
      <c r="H56" s="9">
        <v>171130.73</v>
      </c>
      <c r="I56" s="9">
        <v>155575.95</v>
      </c>
      <c r="J56" s="9">
        <v>157121.1</v>
      </c>
      <c r="K56" s="196"/>
      <c r="L56" s="9"/>
      <c r="M56" s="9"/>
      <c r="N56" s="12"/>
      <c r="O56" s="236">
        <f>D56+E56+F56+G56+H56+I56+J56+K56+L56+M56+N56+C56</f>
        <v>1354339.47</v>
      </c>
      <c r="P56" s="46">
        <f>(C56+D56+E56+F56+G56+H56)/(C55+D55+E55+F55+G55+H55)</f>
        <v>21.415842456214857</v>
      </c>
      <c r="Q56" s="316">
        <f>(I56+J56+K56+L56+M56+N56)/(I55+J55+K55+L55+M55+N55)</f>
        <v>19.221396991365047</v>
      </c>
      <c r="R56" s="20">
        <f t="shared" si="5"/>
        <v>20.865830947447044</v>
      </c>
    </row>
    <row r="57" spans="1:42" s="106" customFormat="1" ht="23.25" customHeight="1" thickBot="1">
      <c r="A57" s="275" t="s">
        <v>46</v>
      </c>
      <c r="B57" s="17" t="s">
        <v>44</v>
      </c>
      <c r="C57" s="31"/>
      <c r="D57" s="31"/>
      <c r="E57" s="31"/>
      <c r="F57" s="31"/>
      <c r="G57" s="31"/>
      <c r="H57" s="31"/>
      <c r="I57" s="31"/>
      <c r="J57" s="31"/>
      <c r="K57" s="196">
        <v>8351.55</v>
      </c>
      <c r="L57" s="114">
        <v>7717.9</v>
      </c>
      <c r="M57" s="187">
        <v>8123.184</v>
      </c>
      <c r="N57" s="261">
        <v>7830.82</v>
      </c>
      <c r="O57" s="242">
        <f>C57+D57+E57+F57+G57+H57+I57+J57+K57+L57+M57+N57</f>
        <v>32023.453999999998</v>
      </c>
      <c r="P57" s="46"/>
      <c r="Q57" s="31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17" ht="19.5" customHeight="1" thickBot="1">
      <c r="A58" s="276"/>
      <c r="B58" s="267" t="s">
        <v>41</v>
      </c>
      <c r="C58" s="45"/>
      <c r="D58" s="45"/>
      <c r="E58" s="45"/>
      <c r="F58" s="45"/>
      <c r="G58" s="45"/>
      <c r="H58" s="45"/>
      <c r="I58" s="45"/>
      <c r="J58" s="45"/>
      <c r="K58" s="196">
        <v>184664.46</v>
      </c>
      <c r="L58" s="45">
        <v>170653.5</v>
      </c>
      <c r="M58" s="188">
        <v>179603.59</v>
      </c>
      <c r="N58" s="262">
        <v>173139.42</v>
      </c>
      <c r="O58" s="243">
        <f>C58+D58+E58+F58+G58+H58+I58+J58+K58+L58+M58+N58</f>
        <v>708060.97</v>
      </c>
      <c r="P58" s="46"/>
      <c r="Q58" s="316">
        <f>(I58+J58+K58+L58+M58+N58)/(I57+J57+K57+L57+M57+N57)</f>
        <v>22.110699551647365</v>
      </c>
    </row>
    <row r="59" spans="1:18" s="106" customFormat="1" ht="15" customHeight="1" thickBot="1">
      <c r="A59" s="273" t="s">
        <v>3</v>
      </c>
      <c r="B59" s="17" t="s">
        <v>44</v>
      </c>
      <c r="C59" s="111">
        <v>119.9</v>
      </c>
      <c r="D59" s="111">
        <v>119.9</v>
      </c>
      <c r="E59" s="111">
        <v>119.9</v>
      </c>
      <c r="F59" s="112">
        <v>119.9</v>
      </c>
      <c r="G59" s="9">
        <v>119.9</v>
      </c>
      <c r="H59" s="111">
        <v>119.9</v>
      </c>
      <c r="I59" s="114">
        <v>119.9</v>
      </c>
      <c r="J59" s="114">
        <v>119.9</v>
      </c>
      <c r="K59" s="189">
        <v>119.9</v>
      </c>
      <c r="L59" s="114">
        <v>119.9</v>
      </c>
      <c r="M59" s="9">
        <v>119.9</v>
      </c>
      <c r="N59" s="254">
        <v>119.9</v>
      </c>
      <c r="O59" s="235">
        <f>D59+E59+F59+G59+H59+I59+J59+K59+L59+M59+N59+C59</f>
        <v>1438.8000000000002</v>
      </c>
      <c r="P59" s="105"/>
      <c r="Q59" s="325"/>
      <c r="R59" s="20">
        <f>O59/O56</f>
        <v>0.00106236289488041</v>
      </c>
    </row>
    <row r="60" spans="1:18" ht="13.5" thickBot="1">
      <c r="A60" s="274"/>
      <c r="B60" s="267" t="s">
        <v>41</v>
      </c>
      <c r="C60" s="54">
        <v>2790.03</v>
      </c>
      <c r="D60" s="54">
        <v>2790.03</v>
      </c>
      <c r="E60" s="54">
        <v>2790.03</v>
      </c>
      <c r="F60" s="79">
        <v>2790.03</v>
      </c>
      <c r="G60" s="9">
        <v>2790.03</v>
      </c>
      <c r="H60" s="9">
        <v>2790.03</v>
      </c>
      <c r="I60" s="9">
        <v>3341.81</v>
      </c>
      <c r="J60" s="9">
        <v>3341.81</v>
      </c>
      <c r="K60" s="196">
        <v>3341.81</v>
      </c>
      <c r="L60" s="9">
        <v>3341.81</v>
      </c>
      <c r="M60" s="9">
        <v>3341.81</v>
      </c>
      <c r="N60" s="12">
        <v>3341.81</v>
      </c>
      <c r="O60" s="236">
        <f>D60+E60+F60+G60+H60+I60+J60+K60+L60+M60+N60+C60</f>
        <v>36791.04000000001</v>
      </c>
      <c r="P60" s="46">
        <f>(C60+D60+E60+F60+G60+H60)/(C59+D59+E59+F59+G59+H59)</f>
        <v>23.269641367806507</v>
      </c>
      <c r="Q60" s="316">
        <f>(I60+J60+K60+L60+M60+N60)/(I59+J59+K59+L59+M59+N59)</f>
        <v>27.871643035863222</v>
      </c>
      <c r="R60" s="20">
        <f t="shared" si="5"/>
        <v>25.570642201834865</v>
      </c>
    </row>
    <row r="61" spans="1:18" s="106" customFormat="1" ht="16.5" customHeight="1" thickBot="1">
      <c r="A61" s="273" t="s">
        <v>22</v>
      </c>
      <c r="B61" s="17" t="s">
        <v>44</v>
      </c>
      <c r="C61" s="111">
        <v>44652.63</v>
      </c>
      <c r="D61" s="111">
        <v>42037.62</v>
      </c>
      <c r="E61" s="111">
        <v>45540.8</v>
      </c>
      <c r="F61" s="112">
        <v>45611.65</v>
      </c>
      <c r="G61" s="9">
        <v>46415.33</v>
      </c>
      <c r="H61" s="111">
        <f>47249.96-2251.42</f>
        <v>44998.54</v>
      </c>
      <c r="I61" s="114">
        <v>46076.07</v>
      </c>
      <c r="J61" s="189">
        <v>45261.14</v>
      </c>
      <c r="K61" s="189">
        <v>45250.78</v>
      </c>
      <c r="L61" s="114">
        <v>44114.88</v>
      </c>
      <c r="M61" s="114">
        <v>42283.03</v>
      </c>
      <c r="N61" s="254">
        <v>40649.4</v>
      </c>
      <c r="O61" s="235">
        <f>D61+E61+F61+G61+H61+I61+J61+K61+L61+M61+N61+C61</f>
        <v>532891.8700000001</v>
      </c>
      <c r="P61" s="105"/>
      <c r="Q61" s="325"/>
      <c r="R61" s="20">
        <f t="shared" si="5"/>
        <v>14.484283945221446</v>
      </c>
    </row>
    <row r="62" spans="1:18" ht="13.5" thickBot="1">
      <c r="A62" s="274"/>
      <c r="B62" s="267" t="s">
        <v>41</v>
      </c>
      <c r="C62" s="54">
        <v>811954.51</v>
      </c>
      <c r="D62" s="54">
        <v>764403.68</v>
      </c>
      <c r="E62" s="54">
        <v>828104.89</v>
      </c>
      <c r="F62" s="79">
        <v>829393.14</v>
      </c>
      <c r="G62" s="9">
        <v>844007.05</v>
      </c>
      <c r="H62" s="9">
        <f>859183.81-40939.38</f>
        <v>818244.43</v>
      </c>
      <c r="I62" s="9">
        <v>919392.68</v>
      </c>
      <c r="J62" s="9">
        <v>903131.72</v>
      </c>
      <c r="K62" s="196">
        <v>902925.02</v>
      </c>
      <c r="L62" s="9">
        <v>880259.49</v>
      </c>
      <c r="M62" s="9">
        <v>843707.11</v>
      </c>
      <c r="N62" s="12">
        <v>811110</v>
      </c>
      <c r="O62" s="236">
        <f>D62+E62+F62+G62+H62+I62+J62+K62+L62+M62+N62+C62</f>
        <v>10156633.719999999</v>
      </c>
      <c r="P62" s="46">
        <f>(C62+D62+E62+F62+G62+H62)/(C61+D61+E61+F61+G61+H61)</f>
        <v>18.183800306154094</v>
      </c>
      <c r="Q62" s="316">
        <f>(I62+J62+K62+L62+M62+N62)/(I61+J61+K61+L61+M61+N61)</f>
        <v>19.953799889468524</v>
      </c>
      <c r="R62" s="20">
        <f t="shared" si="5"/>
        <v>19.059464577682515</v>
      </c>
    </row>
    <row r="63" spans="1:18" s="106" customFormat="1" ht="30.75" customHeight="1" thickBot="1">
      <c r="A63" s="273" t="s">
        <v>55</v>
      </c>
      <c r="B63" s="17" t="s">
        <v>44</v>
      </c>
      <c r="C63" s="111">
        <v>22257.6</v>
      </c>
      <c r="D63" s="111">
        <v>21382.5</v>
      </c>
      <c r="E63" s="111">
        <v>20928.2</v>
      </c>
      <c r="F63" s="112">
        <v>21419.5</v>
      </c>
      <c r="G63" s="9">
        <v>21088.2</v>
      </c>
      <c r="H63" s="112">
        <f>22033.78-1170.1</f>
        <v>20863.68</v>
      </c>
      <c r="I63" s="189">
        <v>20362.8</v>
      </c>
      <c r="J63" s="187">
        <v>20895.7</v>
      </c>
      <c r="K63" s="189">
        <v>21311.22</v>
      </c>
      <c r="L63" s="114">
        <v>21220.6</v>
      </c>
      <c r="M63" s="114">
        <v>22119.1</v>
      </c>
      <c r="N63" s="263">
        <v>20947</v>
      </c>
      <c r="O63" s="235">
        <f>D63+E63+F63+G63+H63+I63+J63+K63+L63+M63+N63+C63</f>
        <v>254796.1</v>
      </c>
      <c r="P63" s="105"/>
      <c r="Q63" s="325"/>
      <c r="R63" s="20">
        <f t="shared" si="5"/>
        <v>0.02508666818399355</v>
      </c>
    </row>
    <row r="64" spans="1:18" ht="27.75" customHeight="1" thickBot="1">
      <c r="A64" s="274"/>
      <c r="B64" s="267" t="s">
        <v>41</v>
      </c>
      <c r="C64" s="54">
        <v>518188.16</v>
      </c>
      <c r="D64" s="54">
        <v>497814.61</v>
      </c>
      <c r="E64" s="54">
        <v>487237.87</v>
      </c>
      <c r="F64" s="79">
        <v>498676</v>
      </c>
      <c r="G64" s="9">
        <v>490962.89</v>
      </c>
      <c r="H64" s="43">
        <f>512977.28-27241.56</f>
        <v>485735.72000000003</v>
      </c>
      <c r="I64" s="9">
        <v>583402.38</v>
      </c>
      <c r="J64" s="9">
        <v>598670.16</v>
      </c>
      <c r="K64" s="196">
        <v>610574.99</v>
      </c>
      <c r="L64" s="9">
        <v>607978.67</v>
      </c>
      <c r="M64" s="9">
        <v>633721.07</v>
      </c>
      <c r="N64" s="264">
        <v>600139.94</v>
      </c>
      <c r="O64" s="236">
        <f>D64+E64+F64+G64+H64+I64+J64+K64+L64+M64+N64+C64</f>
        <v>6613102.460000001</v>
      </c>
      <c r="P64" s="46">
        <v>23.29</v>
      </c>
      <c r="Q64" s="316">
        <f>(I64+J64+K64+L64+M64+N64)/(I63+J63+K63+L63+M63+N63)</f>
        <v>28.650400271424967</v>
      </c>
      <c r="R64" s="20">
        <f t="shared" si="5"/>
        <v>25.954488549863992</v>
      </c>
    </row>
    <row r="65" spans="1:18" s="106" customFormat="1" ht="15.75" customHeight="1" thickBot="1">
      <c r="A65" s="273" t="s">
        <v>23</v>
      </c>
      <c r="B65" s="17" t="s">
        <v>44</v>
      </c>
      <c r="C65" s="111">
        <v>803.997</v>
      </c>
      <c r="D65" s="111">
        <v>857</v>
      </c>
      <c r="E65" s="111">
        <v>941.998</v>
      </c>
      <c r="F65" s="112">
        <v>786</v>
      </c>
      <c r="G65" s="114">
        <v>839.996</v>
      </c>
      <c r="H65" s="112">
        <v>760.291</v>
      </c>
      <c r="I65" s="114">
        <v>677.997</v>
      </c>
      <c r="J65" s="114">
        <v>662.524</v>
      </c>
      <c r="K65" s="189">
        <v>682.83</v>
      </c>
      <c r="L65" s="114">
        <v>623.9</v>
      </c>
      <c r="M65" s="114">
        <v>667.341</v>
      </c>
      <c r="N65" s="254">
        <v>584.052</v>
      </c>
      <c r="O65" s="235">
        <f>D65+E65+F65+G65+H65+I65+J65+K65+L65+M65+N65+C65</f>
        <v>8887.926</v>
      </c>
      <c r="P65" s="105"/>
      <c r="Q65" s="325"/>
      <c r="R65" s="20">
        <f t="shared" si="5"/>
        <v>0.0013439873423645697</v>
      </c>
    </row>
    <row r="66" spans="1:19" ht="13.5" thickBot="1">
      <c r="A66" s="274"/>
      <c r="B66" s="267" t="s">
        <v>41</v>
      </c>
      <c r="C66" s="54">
        <v>17057.93</v>
      </c>
      <c r="D66" s="54">
        <v>18182.45</v>
      </c>
      <c r="E66" s="54">
        <v>19985.8</v>
      </c>
      <c r="F66" s="79">
        <v>16676.09</v>
      </c>
      <c r="G66" s="9">
        <v>17821.69</v>
      </c>
      <c r="H66" s="43">
        <v>16130.64</v>
      </c>
      <c r="I66" s="9">
        <v>14296.66</v>
      </c>
      <c r="J66" s="9">
        <v>13970.37</v>
      </c>
      <c r="K66" s="196">
        <v>14398.56</v>
      </c>
      <c r="L66" s="9">
        <v>13155.93</v>
      </c>
      <c r="M66" s="9">
        <v>14071.95</v>
      </c>
      <c r="N66" s="12">
        <v>12315.67</v>
      </c>
      <c r="O66" s="236">
        <f>D66+E66+F66+G66+H66+I66+J66+K66+L66+M66+N66+C66</f>
        <v>188063.74000000002</v>
      </c>
      <c r="P66" s="46">
        <f>(C66+D66+E66+F66+G66+H66)/(C65+D65+E65+F65+G65+H65)</f>
        <v>21.21639947391228</v>
      </c>
      <c r="Q66" s="316">
        <f>(I66+J66+K66+L66+M66+N66)/(I65+J65+K65+L65+M65+N65)</f>
        <v>21.086598314696083</v>
      </c>
      <c r="R66" s="20">
        <f t="shared" si="5"/>
        <v>21.159462848813103</v>
      </c>
      <c r="S66" s="20"/>
    </row>
    <row r="67" spans="1:18" s="106" customFormat="1" ht="13.5" thickBot="1">
      <c r="A67" s="273" t="s">
        <v>51</v>
      </c>
      <c r="B67" s="17" t="s">
        <v>44</v>
      </c>
      <c r="C67" s="111">
        <v>578.73</v>
      </c>
      <c r="D67" s="111">
        <v>613.628</v>
      </c>
      <c r="E67" s="111">
        <v>574.326</v>
      </c>
      <c r="F67" s="112">
        <v>566.423</v>
      </c>
      <c r="G67" s="9">
        <v>547.26</v>
      </c>
      <c r="H67" s="111">
        <v>591.761</v>
      </c>
      <c r="I67" s="114">
        <v>580.91</v>
      </c>
      <c r="J67" s="114">
        <v>586.65</v>
      </c>
      <c r="K67" s="189">
        <v>524.089</v>
      </c>
      <c r="L67" s="114">
        <v>449.724</v>
      </c>
      <c r="M67" s="114">
        <v>468.3</v>
      </c>
      <c r="N67" s="254">
        <v>479.383</v>
      </c>
      <c r="O67" s="235">
        <f>D67+E67+F67+G67+H67+I67+J67+K67+L67+M67+N67+C67</f>
        <v>6561.184000000001</v>
      </c>
      <c r="P67" s="105"/>
      <c r="Q67" s="325"/>
      <c r="R67" s="20">
        <f t="shared" si="5"/>
        <v>0.03488808634774572</v>
      </c>
    </row>
    <row r="68" spans="1:18" ht="15.75" customHeight="1" thickBot="1">
      <c r="A68" s="274"/>
      <c r="B68" s="267" t="s">
        <v>41</v>
      </c>
      <c r="C68" s="54">
        <v>19983.58</v>
      </c>
      <c r="D68" s="54">
        <v>21188.57</v>
      </c>
      <c r="E68" s="54">
        <v>19831.48</v>
      </c>
      <c r="F68" s="79">
        <v>19558.59</v>
      </c>
      <c r="G68" s="9">
        <v>18896.89</v>
      </c>
      <c r="H68" s="9">
        <v>20433.51</v>
      </c>
      <c r="I68" s="9">
        <v>20267.95</v>
      </c>
      <c r="J68" s="9">
        <v>20468.22</v>
      </c>
      <c r="K68" s="196">
        <v>18285.47</v>
      </c>
      <c r="L68" s="9">
        <v>15690.87</v>
      </c>
      <c r="M68" s="9">
        <v>16338.99</v>
      </c>
      <c r="N68" s="12">
        <v>16725.67</v>
      </c>
      <c r="O68" s="236">
        <f>D68+E68+F68+G68+H68+I68+J68+K68+L68+M68+N68+C68</f>
        <v>227669.78999999998</v>
      </c>
      <c r="P68" s="46">
        <f>(C68+D68+E68+F68+G68+H68)/(C67+D67+E67+F67+G67+H67)</f>
        <v>34.53001156639386</v>
      </c>
      <c r="Q68" s="316">
        <f>(I68+J68+K68+L68+M68+N68)/(I67+J67+K67+L67+M67+N67)</f>
        <v>34.89000199413672</v>
      </c>
      <c r="R68" s="20">
        <f t="shared" si="5"/>
        <v>34.69949783453717</v>
      </c>
    </row>
    <row r="69" spans="1:42" s="103" customFormat="1" ht="15.75" customHeight="1" thickBot="1">
      <c r="A69" s="273" t="s">
        <v>31</v>
      </c>
      <c r="B69" s="17" t="s">
        <v>44</v>
      </c>
      <c r="C69" s="111">
        <v>940.258</v>
      </c>
      <c r="D69" s="111">
        <v>973.253</v>
      </c>
      <c r="E69" s="111">
        <v>938.33</v>
      </c>
      <c r="F69" s="112">
        <v>896.862</v>
      </c>
      <c r="G69" s="115">
        <v>921.334</v>
      </c>
      <c r="H69" s="111">
        <v>894.66</v>
      </c>
      <c r="I69" s="114">
        <v>920.294</v>
      </c>
      <c r="J69" s="114">
        <v>892.554</v>
      </c>
      <c r="K69" s="189">
        <v>919.115</v>
      </c>
      <c r="L69" s="114">
        <v>1194.487</v>
      </c>
      <c r="M69" s="114">
        <v>858.161</v>
      </c>
      <c r="N69" s="254">
        <v>917.245</v>
      </c>
      <c r="O69" s="235">
        <f>D69+E69+F69+G69+H69+I69+J69+K69+L69+M69+N69+C69</f>
        <v>11266.553</v>
      </c>
      <c r="P69" s="105"/>
      <c r="Q69" s="325"/>
      <c r="R69" s="20">
        <f t="shared" si="5"/>
        <v>0.04948637673887256</v>
      </c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</row>
    <row r="70" spans="1:42" s="20" customFormat="1" ht="13.5" customHeight="1" thickBot="1">
      <c r="A70" s="322"/>
      <c r="B70" s="296" t="s">
        <v>41</v>
      </c>
      <c r="C70" s="54">
        <v>23687.92</v>
      </c>
      <c r="D70" s="54">
        <v>24519.16</v>
      </c>
      <c r="E70" s="54">
        <v>23639.35</v>
      </c>
      <c r="F70" s="79">
        <v>22594.64</v>
      </c>
      <c r="G70" s="9">
        <v>23211.17</v>
      </c>
      <c r="H70" s="9">
        <v>22539.17</v>
      </c>
      <c r="I70" s="9">
        <v>24640.13</v>
      </c>
      <c r="J70" s="9">
        <v>23897.42</v>
      </c>
      <c r="K70" s="196">
        <v>24608.57</v>
      </c>
      <c r="L70" s="9">
        <v>31981.43</v>
      </c>
      <c r="M70" s="9">
        <v>22976.57</v>
      </c>
      <c r="N70" s="12">
        <v>24558.5</v>
      </c>
      <c r="O70" s="236">
        <f>D70+E70+F70+G70+H70+I70+J70+K70+L70+M70+N70+C70</f>
        <v>292854.02999999997</v>
      </c>
      <c r="P70" s="46">
        <f>(C70+D70+E70+F70+G70+H70)/(C69+D69+E69+F69+G69+H69)</f>
        <v>25.19299972666975</v>
      </c>
      <c r="Q70" s="316">
        <f>(I70+J70+K70+L70+M70+N70)/(I69+J69+K69+L69+M69+N69)</f>
        <v>26.774197734912985</v>
      </c>
      <c r="R70" s="20">
        <f aca="true" t="shared" si="9" ref="R70:R90">O70/O69</f>
        <v>25.99322348192921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06" customFormat="1" ht="14.25" customHeight="1" thickBot="1">
      <c r="A71" s="289" t="s">
        <v>26</v>
      </c>
      <c r="B71" s="295" t="s">
        <v>44</v>
      </c>
      <c r="C71" s="100">
        <f>C73+C77+C79+C81+C83+C85+C87+C89</f>
        <v>103032.516</v>
      </c>
      <c r="D71" s="100">
        <f aca="true" t="shared" si="10" ref="D71:F72">D73+D77+D79+D81+D83+D87+D89+D85</f>
        <v>98609.999</v>
      </c>
      <c r="E71" s="100">
        <f t="shared" si="10"/>
        <v>100392.98700000001</v>
      </c>
      <c r="F71" s="100">
        <f t="shared" si="10"/>
        <v>102182.32899999998</v>
      </c>
      <c r="G71" s="6">
        <f>G73+G77+G79+G81+G83+G85+G87+G89</f>
        <v>95532.796</v>
      </c>
      <c r="H71" s="100">
        <f>H73+H77+H79+H81+H83+H87+H89+H85</f>
        <v>93020.917</v>
      </c>
      <c r="I71" s="6">
        <f>I73+I77+I79+I81+I83+I85+I87+I89</f>
        <v>89166.301</v>
      </c>
      <c r="J71" s="4">
        <f>J73+J77+J79+J81+J83+J85+J87+J89</f>
        <v>92734.32400000001</v>
      </c>
      <c r="K71" s="190">
        <f>K75+K77+K79+K81+K83+K85+K87+K89</f>
        <v>94323.641</v>
      </c>
      <c r="L71" s="4">
        <f>L75+L77+L79+L81+L83+L85+L87+L89</f>
        <v>97815.694</v>
      </c>
      <c r="M71" s="113">
        <f>M73+M77+M79+M81+M83+M85+M87+M89+M75</f>
        <v>97555.125</v>
      </c>
      <c r="N71" s="4">
        <f>N73+N77+N79+N81+N83+N85+N87+N89+N75</f>
        <v>154503.167</v>
      </c>
      <c r="O71" s="101">
        <f>D71+E71+F71+G71+H71+I71+J71+K71+L71+M71+N71+C71</f>
        <v>1218869.796</v>
      </c>
      <c r="P71" s="102"/>
      <c r="Q71" s="326"/>
      <c r="R71" s="20">
        <f t="shared" si="9"/>
        <v>4.162038664791467</v>
      </c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</row>
    <row r="72" spans="1:42" ht="13.5" thickBot="1">
      <c r="A72" s="291"/>
      <c r="B72" s="297" t="s">
        <v>41</v>
      </c>
      <c r="C72" s="4">
        <f>C74+C78+C80+C82+C84+C86+C88+C90</f>
        <v>2242718.24</v>
      </c>
      <c r="D72" s="4">
        <f t="shared" si="10"/>
        <v>2167190.9200000004</v>
      </c>
      <c r="E72" s="4">
        <f t="shared" si="10"/>
        <v>2176842.32</v>
      </c>
      <c r="F72" s="4">
        <f t="shared" si="10"/>
        <v>2223838.38</v>
      </c>
      <c r="G72" s="4">
        <f>G74+G78+G80+G82+G84+G86+G88+G90</f>
        <v>2087738.62</v>
      </c>
      <c r="H72" s="4">
        <f>H74+H78+H80+H82+H84+H88+H90+H86</f>
        <v>2025089.08</v>
      </c>
      <c r="I72" s="4">
        <f>I74+I78+I80+I82+I84+I86+I88+I90</f>
        <v>2247606.16</v>
      </c>
      <c r="J72" s="4">
        <f>J74+J78+J80+J82+J84+J86+J88+J90</f>
        <v>2329697.0599999996</v>
      </c>
      <c r="K72" s="195">
        <f>K76+K78+K80+K82+K84+K86+K88+K90</f>
        <v>2416594.15</v>
      </c>
      <c r="L72" s="4">
        <f>L76+L78+L80+L82+L84+L86+L88+L90</f>
        <v>2462681.3099999996</v>
      </c>
      <c r="M72" s="4">
        <f>M74+M78+M80+M82+M84+M86+M88+M90+M76</f>
        <v>2473619.04</v>
      </c>
      <c r="N72" s="4">
        <f>N74+N78+N80+N82+N84+N86+N88+N90+N76</f>
        <v>4244155.9</v>
      </c>
      <c r="O72" s="23">
        <f>D72+E72+F72+G72+H72+I72+J72+K72+L72+M72+N72+C72</f>
        <v>29097771.18</v>
      </c>
      <c r="P72" s="46"/>
      <c r="Q72" s="316"/>
      <c r="R72" s="20">
        <f t="shared" si="9"/>
        <v>23.87274774999839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15" customHeight="1" thickBot="1">
      <c r="A73" s="273" t="s">
        <v>45</v>
      </c>
      <c r="B73" s="17" t="s">
        <v>44</v>
      </c>
      <c r="C73" s="72">
        <v>14672.02</v>
      </c>
      <c r="D73" s="72">
        <v>14890.23</v>
      </c>
      <c r="E73" s="72">
        <v>14149.1</v>
      </c>
      <c r="F73" s="72">
        <v>14649.36</v>
      </c>
      <c r="G73" s="81">
        <v>14352.557</v>
      </c>
      <c r="H73" s="72">
        <v>14432.176</v>
      </c>
      <c r="I73" s="270">
        <v>14172.979</v>
      </c>
      <c r="J73" s="270">
        <v>14626.452</v>
      </c>
      <c r="K73" s="192"/>
      <c r="L73" s="81"/>
      <c r="M73" s="44"/>
      <c r="N73" s="70"/>
      <c r="O73" s="235">
        <f>D73+E73+F73+G73+H73+I73+J73+K73+L73+M73+N73+C73</f>
        <v>115944.87400000001</v>
      </c>
      <c r="P73" s="105"/>
      <c r="Q73" s="325"/>
      <c r="R73" s="20">
        <f t="shared" si="9"/>
        <v>0.00398466512375674</v>
      </c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</row>
    <row r="74" spans="1:19" ht="21" customHeight="1" thickBot="1">
      <c r="A74" s="274"/>
      <c r="B74" s="267" t="s">
        <v>41</v>
      </c>
      <c r="C74" s="55">
        <v>481388.88</v>
      </c>
      <c r="D74" s="55">
        <v>488548.48</v>
      </c>
      <c r="E74" s="55">
        <v>464231.84</v>
      </c>
      <c r="F74" s="55">
        <v>480645.38</v>
      </c>
      <c r="G74" s="45">
        <v>470907.4</v>
      </c>
      <c r="H74" s="45">
        <v>473519.68</v>
      </c>
      <c r="I74" s="45">
        <v>512211.46</v>
      </c>
      <c r="J74" s="45">
        <v>528599.99</v>
      </c>
      <c r="K74" s="188"/>
      <c r="L74" s="45"/>
      <c r="M74" s="45"/>
      <c r="N74" s="71"/>
      <c r="O74" s="236">
        <f>D74+E74+F74+G74+H74+I74+J74+K74+L74+M74+N74+C74</f>
        <v>3900053.1100000003</v>
      </c>
      <c r="P74" s="46">
        <f>(C74+D74+E74+F74+G74+H74)/(C73+D73+E73+F73+G73+H73)</f>
        <v>32.809996272553235</v>
      </c>
      <c r="Q74" s="316">
        <f>(I74+J74+K74+L74+M74+N74)/(I73+J73+K73+L73+M73+N73)</f>
        <v>36.14000047431493</v>
      </c>
      <c r="R74" s="20">
        <f t="shared" si="9"/>
        <v>33.63713267737908</v>
      </c>
      <c r="S74" s="20">
        <f>O74+O76+O78+O80+O82+O84+O86+O88+O90</f>
        <v>29097771.180000007</v>
      </c>
    </row>
    <row r="75" spans="1:42" s="106" customFormat="1" ht="22.5" customHeight="1" thickBot="1">
      <c r="A75" s="275" t="s">
        <v>46</v>
      </c>
      <c r="B75" s="17" t="s">
        <v>44</v>
      </c>
      <c r="C75" s="31"/>
      <c r="D75" s="31"/>
      <c r="E75" s="31"/>
      <c r="F75" s="31"/>
      <c r="G75" s="31"/>
      <c r="H75" s="31"/>
      <c r="I75" s="31"/>
      <c r="J75" s="31"/>
      <c r="K75" s="192">
        <v>14689.12</v>
      </c>
      <c r="L75" s="81">
        <v>14218.231</v>
      </c>
      <c r="M75" s="45">
        <v>14425.94</v>
      </c>
      <c r="N75" s="261">
        <v>14509.43</v>
      </c>
      <c r="O75" s="242">
        <f>C75+D75+E75+F75+G75+H75+I75+J75+K75+L75+M75+N75</f>
        <v>57842.721000000005</v>
      </c>
      <c r="P75" s="46"/>
      <c r="Q75" s="316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17" ht="22.5" customHeight="1" thickBot="1">
      <c r="A76" s="276"/>
      <c r="B76" s="267" t="s">
        <v>41</v>
      </c>
      <c r="C76" s="45"/>
      <c r="D76" s="45"/>
      <c r="E76" s="45"/>
      <c r="F76" s="45"/>
      <c r="G76" s="45"/>
      <c r="H76" s="45"/>
      <c r="I76" s="45"/>
      <c r="J76" s="45"/>
      <c r="K76" s="188">
        <v>590796.42</v>
      </c>
      <c r="L76" s="45">
        <v>571857.27</v>
      </c>
      <c r="M76" s="45">
        <v>580211.32</v>
      </c>
      <c r="N76" s="262">
        <v>583569.28</v>
      </c>
      <c r="O76" s="243">
        <f>C76+D76+E76+F76+G76+H76+I76+J76+K76+L76+M76+N76</f>
        <v>2326434.29</v>
      </c>
      <c r="P76" s="46"/>
      <c r="Q76" s="316">
        <f>(I76+J76+K76+L76+M76+N76)/(I75+J75+K75+L75+M75+N75)</f>
        <v>40.220000888270796</v>
      </c>
    </row>
    <row r="77" spans="1:18" s="106" customFormat="1" ht="15.75" customHeight="1" thickBot="1">
      <c r="A77" s="319" t="s">
        <v>34</v>
      </c>
      <c r="B77" s="17" t="s">
        <v>44</v>
      </c>
      <c r="C77" s="107">
        <v>718.34</v>
      </c>
      <c r="D77" s="107">
        <v>681</v>
      </c>
      <c r="E77" s="107">
        <v>683.02</v>
      </c>
      <c r="F77" s="107">
        <v>675.71</v>
      </c>
      <c r="G77" s="31">
        <v>733.24</v>
      </c>
      <c r="H77" s="107">
        <v>554.05</v>
      </c>
      <c r="I77" s="31">
        <v>610.47</v>
      </c>
      <c r="J77" s="31">
        <v>669.57</v>
      </c>
      <c r="K77" s="187">
        <v>748.5</v>
      </c>
      <c r="L77" s="31">
        <v>647.78</v>
      </c>
      <c r="M77" s="31">
        <v>630.91</v>
      </c>
      <c r="N77" s="32">
        <v>695.29</v>
      </c>
      <c r="O77" s="235">
        <f>D77+E77+F77+G77+H77+I77+J77+K77+L77+M77+N77+C77</f>
        <v>8047.88</v>
      </c>
      <c r="P77" s="105"/>
      <c r="Q77" s="325"/>
      <c r="R77" s="20">
        <f>O77/O74</f>
        <v>0.0020635308733013636</v>
      </c>
    </row>
    <row r="78" spans="1:18" ht="12" customHeight="1" thickBot="1">
      <c r="A78" s="318"/>
      <c r="B78" s="267" t="s">
        <v>41</v>
      </c>
      <c r="C78" s="55">
        <v>17003.21</v>
      </c>
      <c r="D78" s="55">
        <v>16119.81</v>
      </c>
      <c r="E78" s="55">
        <v>16167.63</v>
      </c>
      <c r="F78" s="55">
        <v>15994.59</v>
      </c>
      <c r="G78" s="45">
        <v>17356.37</v>
      </c>
      <c r="H78" s="31">
        <v>13114.8</v>
      </c>
      <c r="I78" s="45">
        <v>16935.54</v>
      </c>
      <c r="J78" s="45">
        <v>18575.08</v>
      </c>
      <c r="K78" s="188">
        <v>20764.74</v>
      </c>
      <c r="L78" s="45">
        <v>17970.59</v>
      </c>
      <c r="M78" s="45">
        <v>17502.57</v>
      </c>
      <c r="N78" s="71">
        <v>19288.6</v>
      </c>
      <c r="O78" s="236">
        <f>D78+E78+F78+G78+H78+I78+J78+K78+L78+M78+N78+C78</f>
        <v>206793.53</v>
      </c>
      <c r="P78" s="46">
        <f>(C78+D78+E78+F78+G78+H78)/(C77+D77+E77+F77+G77+H77)</f>
        <v>23.670677022564117</v>
      </c>
      <c r="Q78" s="316">
        <f>(I78+J78+K78+L78+M78+N78)/(I77+J77+K77+L77+M77+N77)</f>
        <v>27.74180266432148</v>
      </c>
      <c r="R78" s="20">
        <f t="shared" si="9"/>
        <v>25.695404255530647</v>
      </c>
    </row>
    <row r="79" spans="1:18" s="106" customFormat="1" ht="18.75" customHeight="1" thickBot="1">
      <c r="A79" s="273" t="s">
        <v>22</v>
      </c>
      <c r="B79" s="17" t="s">
        <v>44</v>
      </c>
      <c r="C79" s="107">
        <v>48554.13</v>
      </c>
      <c r="D79" s="107">
        <v>45106.31</v>
      </c>
      <c r="E79" s="107">
        <v>48368.37</v>
      </c>
      <c r="F79" s="107">
        <v>48844.18</v>
      </c>
      <c r="G79" s="31">
        <v>46082.83</v>
      </c>
      <c r="H79" s="271">
        <f>45702.44</f>
        <v>45702.44</v>
      </c>
      <c r="I79" s="31">
        <v>39138.07</v>
      </c>
      <c r="J79" s="31">
        <v>41792.55</v>
      </c>
      <c r="K79" s="187">
        <v>42968.55</v>
      </c>
      <c r="L79" s="31">
        <v>46603.41</v>
      </c>
      <c r="M79" s="31">
        <v>45342.07</v>
      </c>
      <c r="N79" s="32">
        <v>44085.39</v>
      </c>
      <c r="O79" s="235">
        <f>D79+E79+F79+G79+H79+I79+J79+K79+L79+M79+N79+C79</f>
        <v>542588.2999999999</v>
      </c>
      <c r="P79" s="105"/>
      <c r="Q79" s="325"/>
      <c r="R79" s="20">
        <f t="shared" si="9"/>
        <v>2.62381661553918</v>
      </c>
    </row>
    <row r="80" spans="1:18" ht="13.5" customHeight="1" thickBot="1">
      <c r="A80" s="274"/>
      <c r="B80" s="267" t="s">
        <v>41</v>
      </c>
      <c r="C80" s="55">
        <v>795811.89</v>
      </c>
      <c r="D80" s="55">
        <v>739292.44</v>
      </c>
      <c r="E80" s="55">
        <v>792767.26</v>
      </c>
      <c r="F80" s="55">
        <v>800565.87</v>
      </c>
      <c r="G80" s="45">
        <v>755306.8</v>
      </c>
      <c r="H80" s="188">
        <f>749072.13</f>
        <v>749072.13</v>
      </c>
      <c r="I80" s="45">
        <v>739388.58</v>
      </c>
      <c r="J80" s="45">
        <v>789536.52</v>
      </c>
      <c r="K80" s="188">
        <v>811753.24</v>
      </c>
      <c r="L80" s="45">
        <v>880422.3</v>
      </c>
      <c r="M80" s="45">
        <v>856593.33</v>
      </c>
      <c r="N80" s="71">
        <v>832852.38</v>
      </c>
      <c r="O80" s="236">
        <f>D80+E80+F80+G80+H80+I80+J80+K80+L80+M80+N80+C80</f>
        <v>9543362.74</v>
      </c>
      <c r="P80" s="46">
        <f>(C80+D80+E80+F80+G80+H80)/(C79+D79+E79+F79+G79+H79)</f>
        <v>16.390168077876087</v>
      </c>
      <c r="Q80" s="316">
        <f>(I80+J80+K80+L80+M80+N80)/(I79+J79+K79+L79+M79+N79)</f>
        <v>18.891800078205655</v>
      </c>
      <c r="R80" s="20">
        <f t="shared" si="9"/>
        <v>17.588589248975698</v>
      </c>
    </row>
    <row r="81" spans="1:18" s="106" customFormat="1" ht="14.25" customHeight="1" thickBot="1">
      <c r="A81" s="273" t="s">
        <v>27</v>
      </c>
      <c r="B81" s="17" t="s">
        <v>44</v>
      </c>
      <c r="C81" s="107">
        <v>4644.45</v>
      </c>
      <c r="D81" s="107">
        <v>4493.57</v>
      </c>
      <c r="E81" s="107">
        <v>4520.15</v>
      </c>
      <c r="F81" s="107">
        <v>4430.51</v>
      </c>
      <c r="G81" s="31">
        <v>3469.6</v>
      </c>
      <c r="H81" s="107">
        <v>3519.17</v>
      </c>
      <c r="I81" s="31">
        <v>3277.91</v>
      </c>
      <c r="J81" s="31">
        <v>3106.44</v>
      </c>
      <c r="K81" s="187">
        <v>3485.74</v>
      </c>
      <c r="L81" s="31">
        <v>4122.66</v>
      </c>
      <c r="M81" s="31">
        <v>4080.63</v>
      </c>
      <c r="N81" s="32">
        <v>3844.13</v>
      </c>
      <c r="O81" s="235">
        <f>D81+E81+F81+G81+H81+I81+J81+K81+L81+M81+N81+C81</f>
        <v>46994.95999999999</v>
      </c>
      <c r="P81" s="105"/>
      <c r="Q81" s="325"/>
      <c r="R81" s="20">
        <f t="shared" si="9"/>
        <v>0.0049243606557074025</v>
      </c>
    </row>
    <row r="82" spans="1:18" ht="14.25" customHeight="1" thickBot="1">
      <c r="A82" s="274"/>
      <c r="B82" s="267" t="s">
        <v>41</v>
      </c>
      <c r="C82" s="55">
        <v>52886.35</v>
      </c>
      <c r="D82" s="55">
        <v>51168.28</v>
      </c>
      <c r="E82" s="55">
        <v>51470.95</v>
      </c>
      <c r="F82" s="55">
        <v>50450.22</v>
      </c>
      <c r="G82" s="31">
        <v>39508.34</v>
      </c>
      <c r="H82" s="31">
        <v>40072.79</v>
      </c>
      <c r="I82" s="45">
        <v>42431.23</v>
      </c>
      <c r="J82" s="31">
        <v>40211.63</v>
      </c>
      <c r="K82" s="187">
        <v>45121.51</v>
      </c>
      <c r="L82" s="45">
        <v>53366.18</v>
      </c>
      <c r="M82" s="45">
        <v>52822.12</v>
      </c>
      <c r="N82" s="71">
        <v>49760.72</v>
      </c>
      <c r="O82" s="236">
        <f>D82+E82+F82+G82+H82+I82+J82+K82+L82+M82+N82+C82</f>
        <v>569270.32</v>
      </c>
      <c r="P82" s="46">
        <f>(C82+D82+E82+F82+G82+H82)/(C81+D81+E81+F81+G81+H81)</f>
        <v>11.38700027315377</v>
      </c>
      <c r="Q82" s="316">
        <f>(I82+J82+K82+L82+M82+N82)/(I81+J81+K81+L81+M81+N81)</f>
        <v>12.944599546207575</v>
      </c>
      <c r="R82" s="20">
        <f t="shared" si="9"/>
        <v>12.113433440522133</v>
      </c>
    </row>
    <row r="83" spans="1:18" s="106" customFormat="1" ht="13.5" thickBot="1">
      <c r="A83" s="273" t="s">
        <v>51</v>
      </c>
      <c r="B83" s="17" t="s">
        <v>44</v>
      </c>
      <c r="C83" s="107">
        <v>867.013</v>
      </c>
      <c r="D83" s="107">
        <v>909.544</v>
      </c>
      <c r="E83" s="107">
        <v>789.781</v>
      </c>
      <c r="F83" s="107">
        <v>818.29</v>
      </c>
      <c r="G83" s="31">
        <v>548.84</v>
      </c>
      <c r="H83" s="107">
        <v>595.125</v>
      </c>
      <c r="I83" s="31">
        <v>582.6</v>
      </c>
      <c r="J83" s="31">
        <v>586.65</v>
      </c>
      <c r="K83" s="187">
        <v>524.085</v>
      </c>
      <c r="L83" s="31">
        <v>633.412</v>
      </c>
      <c r="M83" s="31">
        <v>721.91</v>
      </c>
      <c r="N83" s="32">
        <v>746.243</v>
      </c>
      <c r="O83" s="235">
        <f>D83+E83+F83+G83+H83+I83+J83+K83+L83+M83+N83+C83</f>
        <v>8323.493</v>
      </c>
      <c r="P83" s="108"/>
      <c r="Q83" s="325"/>
      <c r="R83" s="20">
        <f t="shared" si="9"/>
        <v>0.014621336661289492</v>
      </c>
    </row>
    <row r="84" spans="1:18" ht="15.75" customHeight="1" thickBot="1">
      <c r="A84" s="274"/>
      <c r="B84" s="267" t="s">
        <v>41</v>
      </c>
      <c r="C84" s="55">
        <v>19421.09</v>
      </c>
      <c r="D84" s="55">
        <v>20373.78</v>
      </c>
      <c r="E84" s="55">
        <v>17691.09</v>
      </c>
      <c r="F84" s="55">
        <v>18329.7</v>
      </c>
      <c r="G84" s="31">
        <v>12294.01</v>
      </c>
      <c r="H84" s="31">
        <v>13330.8</v>
      </c>
      <c r="I84" s="45">
        <v>13050.24</v>
      </c>
      <c r="J84" s="31">
        <v>13140.96</v>
      </c>
      <c r="K84" s="187">
        <v>11739.5</v>
      </c>
      <c r="L84" s="45">
        <v>14188.43</v>
      </c>
      <c r="M84" s="45">
        <v>16170.78</v>
      </c>
      <c r="N84" s="71">
        <v>16715.84</v>
      </c>
      <c r="O84" s="236">
        <f>D84+E84+F84+G84+H84+I84+J84+K84+L84+M84+N84+C84</f>
        <v>186446.21999999997</v>
      </c>
      <c r="P84" s="46">
        <f>(C84+D84+E84+F84+G84+H84)/(C83+D83+E83+F83+G83+H83)</f>
        <v>22.399997085187383</v>
      </c>
      <c r="Q84" s="316">
        <f>(I84+J84+K84+L84+M84+N84)/(I83+J83+K83+L83+M83+N83)</f>
        <v>22.39999736488445</v>
      </c>
      <c r="R84" s="20">
        <f t="shared" si="9"/>
        <v>22.39999721270865</v>
      </c>
    </row>
    <row r="85" spans="1:18" s="106" customFormat="1" ht="17.25" customHeight="1" thickBot="1">
      <c r="A85" s="273" t="s">
        <v>30</v>
      </c>
      <c r="B85" s="17" t="s">
        <v>44</v>
      </c>
      <c r="C85" s="107">
        <v>1288.563</v>
      </c>
      <c r="D85" s="107">
        <v>1287.745</v>
      </c>
      <c r="E85" s="107">
        <v>1274.766</v>
      </c>
      <c r="F85" s="107">
        <v>1240.629</v>
      </c>
      <c r="G85" s="31">
        <v>1267.729</v>
      </c>
      <c r="H85" s="107">
        <v>1236.456</v>
      </c>
      <c r="I85" s="31">
        <v>1255.472</v>
      </c>
      <c r="J85" s="31">
        <v>1231.062</v>
      </c>
      <c r="K85" s="187">
        <v>1247.246</v>
      </c>
      <c r="L85" s="31">
        <v>1509.901</v>
      </c>
      <c r="M85" s="31">
        <v>1177.065</v>
      </c>
      <c r="N85" s="32">
        <v>1292.754</v>
      </c>
      <c r="O85" s="235">
        <f>D85+E85+F85+G85+H85+I85+J85+K85+L85+M85+N85+C85</f>
        <v>15309.388</v>
      </c>
      <c r="P85" s="108"/>
      <c r="Q85" s="325"/>
      <c r="R85" s="20">
        <f t="shared" si="9"/>
        <v>0.08211154937868949</v>
      </c>
    </row>
    <row r="86" spans="1:18" ht="16.5" customHeight="1" thickBot="1">
      <c r="A86" s="274"/>
      <c r="B86" s="267" t="s">
        <v>41</v>
      </c>
      <c r="C86" s="55">
        <v>22929.2</v>
      </c>
      <c r="D86" s="55">
        <v>22914.64</v>
      </c>
      <c r="E86" s="55">
        <v>22683.69</v>
      </c>
      <c r="F86" s="55">
        <v>22076.24</v>
      </c>
      <c r="G86" s="31">
        <v>22558.47</v>
      </c>
      <c r="H86" s="45">
        <v>22001.99</v>
      </c>
      <c r="I86" s="45">
        <v>24192.19</v>
      </c>
      <c r="J86" s="45">
        <v>23721.84</v>
      </c>
      <c r="K86" s="188">
        <v>24033.61</v>
      </c>
      <c r="L86" s="45">
        <v>29094.89</v>
      </c>
      <c r="M86" s="31">
        <v>22681.35</v>
      </c>
      <c r="N86" s="71">
        <v>24910.59</v>
      </c>
      <c r="O86" s="236">
        <f>D86+E86+F86+G86+H86+I86+J86+K86+L86+M86+N86+C86</f>
        <v>283798.7</v>
      </c>
      <c r="P86" s="46">
        <f>(C86+D86+E86+F86+G86+H86)/(C85+D85+E85+F85+G85+H85)</f>
        <v>17.794394809402142</v>
      </c>
      <c r="Q86" s="316">
        <f>(I86+J86+K86+L86+M86+N86)/(I85+J85+K85+L85+M85+N85)</f>
        <v>19.26939391975109</v>
      </c>
      <c r="R86" s="20">
        <f t="shared" si="9"/>
        <v>18.537560090579714</v>
      </c>
    </row>
    <row r="87" spans="1:18" s="106" customFormat="1" ht="24" customHeight="1" thickBot="1">
      <c r="A87" s="273" t="s">
        <v>55</v>
      </c>
      <c r="B87" s="17" t="s">
        <v>44</v>
      </c>
      <c r="C87" s="107">
        <v>11326</v>
      </c>
      <c r="D87" s="107">
        <v>10301.6</v>
      </c>
      <c r="E87" s="107">
        <v>10119.8</v>
      </c>
      <c r="F87" s="107">
        <v>10494.65</v>
      </c>
      <c r="G87" s="31">
        <v>9916</v>
      </c>
      <c r="H87" s="271">
        <f>9269.5</f>
        <v>9269.5</v>
      </c>
      <c r="I87" s="31">
        <v>9415.8</v>
      </c>
      <c r="J87" s="31">
        <v>10006.6</v>
      </c>
      <c r="K87" s="187">
        <v>10570.4</v>
      </c>
      <c r="L87" s="31">
        <v>10144.3</v>
      </c>
      <c r="M87" s="31">
        <v>10785.6</v>
      </c>
      <c r="N87" s="32">
        <v>10616.93</v>
      </c>
      <c r="O87" s="235">
        <f>D87+E87+F87+G87+H87+I87+J87+K87+L87+M87+N87+C87</f>
        <v>122967.18000000002</v>
      </c>
      <c r="P87" s="108"/>
      <c r="Q87" s="325"/>
      <c r="R87" s="20">
        <f t="shared" si="9"/>
        <v>0.43329014544464095</v>
      </c>
    </row>
    <row r="88" spans="1:18" ht="36.75" customHeight="1" thickBot="1">
      <c r="A88" s="274"/>
      <c r="B88" s="267" t="s">
        <v>41</v>
      </c>
      <c r="C88" s="55">
        <v>264086.11</v>
      </c>
      <c r="D88" s="60">
        <v>240200.35</v>
      </c>
      <c r="E88" s="60">
        <v>235961.35</v>
      </c>
      <c r="F88" s="55">
        <v>244701.66</v>
      </c>
      <c r="G88" s="31">
        <v>231209.4</v>
      </c>
      <c r="H88" s="272">
        <f>216135.08</f>
        <v>216135.08</v>
      </c>
      <c r="I88" s="45">
        <v>262211.19</v>
      </c>
      <c r="J88" s="45">
        <v>278663.78</v>
      </c>
      <c r="K88" s="188">
        <v>294364.5</v>
      </c>
      <c r="L88" s="45">
        <v>282498.45</v>
      </c>
      <c r="M88" s="45">
        <v>300357.39</v>
      </c>
      <c r="N88" s="71">
        <v>295660.25</v>
      </c>
      <c r="O88" s="236">
        <f>D88+E88+F88+G88+H88+I88+J88+K88+L88+M88+N88+C88</f>
        <v>3146049.5100000002</v>
      </c>
      <c r="P88" s="46">
        <f>(C88+D88+E88+F88+G88+H88)/(C87+D87+E87+F87+G87+H87)</f>
        <v>23.3168008491304</v>
      </c>
      <c r="Q88" s="316">
        <f>(I88+J88+K88+L88+M88+N88)/(I87+J87+K87+L87+M87+N87)</f>
        <v>27.84799908611735</v>
      </c>
      <c r="R88" s="20">
        <f t="shared" si="9"/>
        <v>25.58446497675233</v>
      </c>
    </row>
    <row r="89" spans="1:42" ht="32.25" customHeight="1" thickBot="1">
      <c r="A89" s="273" t="s">
        <v>56</v>
      </c>
      <c r="B89" s="17" t="s">
        <v>44</v>
      </c>
      <c r="C89" s="107">
        <v>20962</v>
      </c>
      <c r="D89" s="107">
        <v>20940</v>
      </c>
      <c r="E89" s="107">
        <v>20488</v>
      </c>
      <c r="F89" s="107">
        <v>21029</v>
      </c>
      <c r="G89" s="31">
        <v>19162</v>
      </c>
      <c r="H89" s="107">
        <v>17712</v>
      </c>
      <c r="I89" s="31">
        <v>20713</v>
      </c>
      <c r="J89" s="31">
        <v>20715</v>
      </c>
      <c r="K89" s="187">
        <v>20090</v>
      </c>
      <c r="L89" s="31">
        <v>19936</v>
      </c>
      <c r="M89" s="31">
        <v>20391</v>
      </c>
      <c r="N89" s="32">
        <f>20017+58696</f>
        <v>78713</v>
      </c>
      <c r="O89" s="235">
        <f>D89+E89+F89+G89+H89+I89+J89+K89+L89+M89+N89+C89</f>
        <v>300851</v>
      </c>
      <c r="P89" s="108"/>
      <c r="Q89" s="325"/>
      <c r="R89" s="20">
        <f t="shared" si="9"/>
        <v>0.09562818355010566</v>
      </c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</row>
    <row r="90" spans="1:18" ht="17.25" customHeight="1" thickBot="1">
      <c r="A90" s="322"/>
      <c r="B90" s="323" t="s">
        <v>41</v>
      </c>
      <c r="C90" s="257">
        <v>589191.51</v>
      </c>
      <c r="D90" s="257">
        <v>588573.14</v>
      </c>
      <c r="E90" s="257">
        <v>575868.51</v>
      </c>
      <c r="F90" s="257">
        <v>591074.72</v>
      </c>
      <c r="G90" s="229">
        <v>538597.83</v>
      </c>
      <c r="H90" s="229">
        <v>497841.81</v>
      </c>
      <c r="I90" s="229">
        <v>637185.73</v>
      </c>
      <c r="J90" s="229">
        <v>637247.26</v>
      </c>
      <c r="K90" s="258">
        <v>618020.63</v>
      </c>
      <c r="L90" s="229">
        <v>613283.2</v>
      </c>
      <c r="M90" s="229">
        <v>627280.18</v>
      </c>
      <c r="N90" s="256">
        <f>615774.97+1805623.27</f>
        <v>2421398.24</v>
      </c>
      <c r="O90" s="236">
        <f>D90+E90+F90+G90+H90+I90+J90+K90+L90+M90+N90+C90</f>
        <v>8935562.76</v>
      </c>
      <c r="P90" s="222">
        <f>(C90+D90+E90+F90+G90+H90)/(C89+D89+E89+F89+G89+H89)</f>
        <v>28.107599943471357</v>
      </c>
      <c r="Q90" s="321">
        <f>(I90+J90+K90+L90+M90+N90)/(I89+J89+K89+L89+M89+N89)</f>
        <v>30.76249869847916</v>
      </c>
      <c r="R90" s="20">
        <f t="shared" si="9"/>
        <v>29.70095748393723</v>
      </c>
    </row>
    <row r="91" spans="1:15" ht="12.75" hidden="1">
      <c r="A91" s="39"/>
      <c r="B91" s="39"/>
      <c r="C91" s="61"/>
      <c r="D91" s="61"/>
      <c r="E91" s="61"/>
      <c r="F91" s="98"/>
      <c r="G91" s="40"/>
      <c r="H91" s="40"/>
      <c r="I91" s="237"/>
      <c r="J91" s="238"/>
      <c r="K91" s="239"/>
      <c r="L91" s="240"/>
      <c r="M91" s="240"/>
      <c r="N91" s="28"/>
      <c r="O91" s="41"/>
    </row>
    <row r="92" spans="6:14" ht="13.5" hidden="1" thickBot="1">
      <c r="F92" s="50"/>
      <c r="H92" s="41"/>
      <c r="I92" s="237"/>
      <c r="J92" s="238"/>
      <c r="K92" s="239"/>
      <c r="L92" s="240"/>
      <c r="M92" s="240"/>
      <c r="N92" s="10"/>
    </row>
    <row r="93" spans="3:10" ht="13.5" hidden="1" thickBot="1">
      <c r="C93" s="248">
        <f>C72+C50+C32+C6</f>
        <v>36736716.28</v>
      </c>
      <c r="D93" s="48">
        <f>D72+D50+D32+D6</f>
        <v>35394007.32</v>
      </c>
      <c r="E93" s="48">
        <f>E72+E50+E32+E6</f>
        <v>33218768.07</v>
      </c>
      <c r="F93" s="48">
        <f>F72+F50+F32+F6</f>
        <v>23107294.740000002</v>
      </c>
      <c r="G93" s="4">
        <f>G72+G50+G32+G6</f>
        <v>6190379.830000001</v>
      </c>
      <c r="H93" s="48">
        <f>H72+H50+H32+H6</f>
        <v>5574528.96</v>
      </c>
      <c r="I93" s="48">
        <f>I72+I50+I32+I6</f>
        <v>5783044</v>
      </c>
      <c r="J93" s="246">
        <f>J72+J50+J32+J6</f>
        <v>6555258.419999999</v>
      </c>
    </row>
    <row r="94" spans="6:19" ht="13.5" hidden="1" thickBot="1">
      <c r="F94" s="50"/>
      <c r="H94" s="50"/>
      <c r="I94" s="249">
        <f>I72+I50+I32+I6</f>
        <v>5783044</v>
      </c>
      <c r="J94" s="247">
        <f>J72+J50+J32+J6</f>
        <v>6555258.419999999</v>
      </c>
      <c r="K94" s="245">
        <f>K72+K50+K32+K6</f>
        <v>6931997.23</v>
      </c>
      <c r="L94" s="48">
        <f>L72+L50+L32+L6</f>
        <v>23800142.229999997</v>
      </c>
      <c r="M94" s="246">
        <f>M72+M50+M32+M6</f>
        <v>33327718.09</v>
      </c>
      <c r="N94" s="49">
        <f>N72+N50+N32+N6</f>
        <v>36140813.12</v>
      </c>
      <c r="O94" s="49">
        <f>O72+O50+O32+O6</f>
        <v>252760668.28999996</v>
      </c>
      <c r="S94" s="20" t="e">
        <f>S74+S53+S38+S9</f>
        <v>#REF!</v>
      </c>
    </row>
    <row r="95" ht="12.75">
      <c r="F95" s="50"/>
    </row>
    <row r="96" ht="12.75">
      <c r="F96" s="50"/>
    </row>
    <row r="97" ht="12.75">
      <c r="F97" s="50"/>
    </row>
    <row r="98" ht="12.75">
      <c r="F98" s="50"/>
    </row>
    <row r="99" ht="12.75">
      <c r="F99" s="50"/>
    </row>
    <row r="100" ht="12.75">
      <c r="F100" s="50"/>
    </row>
    <row r="101" ht="12.75">
      <c r="F101" s="50"/>
    </row>
    <row r="102" ht="12.75">
      <c r="F102" s="50"/>
    </row>
    <row r="103" ht="12.75">
      <c r="F103" s="50"/>
    </row>
    <row r="104" ht="12.75">
      <c r="F104" s="50"/>
    </row>
    <row r="105" ht="12.75">
      <c r="F105" s="50"/>
    </row>
    <row r="106" ht="12.75">
      <c r="F106" s="50"/>
    </row>
    <row r="107" ht="12.75">
      <c r="F107" s="50"/>
    </row>
    <row r="108" ht="12.75">
      <c r="F108" s="50"/>
    </row>
    <row r="109" ht="12.75">
      <c r="F109" s="50"/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  <row r="178" ht="12.75">
      <c r="F178" s="50"/>
    </row>
    <row r="179" ht="12.75">
      <c r="F179" s="50"/>
    </row>
    <row r="180" ht="12.75">
      <c r="F180" s="50"/>
    </row>
    <row r="181" ht="12.75">
      <c r="F181" s="50"/>
    </row>
    <row r="182" ht="12.75">
      <c r="F182" s="50"/>
    </row>
    <row r="183" ht="12.75">
      <c r="F183" s="50"/>
    </row>
    <row r="184" ht="12.75">
      <c r="F184" s="50"/>
    </row>
    <row r="185" ht="12.75">
      <c r="F185" s="50"/>
    </row>
    <row r="186" ht="12.75">
      <c r="F186" s="50"/>
    </row>
    <row r="187" ht="12.75">
      <c r="F187" s="50"/>
    </row>
    <row r="188" ht="12.75">
      <c r="F188" s="50"/>
    </row>
    <row r="189" ht="12.75">
      <c r="F189" s="50"/>
    </row>
    <row r="190" ht="12.75">
      <c r="F190" s="50"/>
    </row>
    <row r="191" ht="12.75">
      <c r="F191" s="50"/>
    </row>
    <row r="192" ht="12.75">
      <c r="F192" s="50"/>
    </row>
    <row r="193" ht="12.75">
      <c r="F193" s="50"/>
    </row>
    <row r="194" ht="12.75">
      <c r="F194" s="50"/>
    </row>
    <row r="195" ht="12.75">
      <c r="F195" s="50"/>
    </row>
    <row r="196" ht="12.75">
      <c r="F196" s="50"/>
    </row>
    <row r="197" ht="12.75">
      <c r="F197" s="50"/>
    </row>
    <row r="198" ht="12.75">
      <c r="F198" s="50"/>
    </row>
    <row r="199" ht="12.75">
      <c r="F199" s="50"/>
    </row>
    <row r="200" ht="12.75">
      <c r="F200" s="50"/>
    </row>
    <row r="201" ht="12.75">
      <c r="F201" s="50"/>
    </row>
    <row r="202" ht="12.75">
      <c r="F202" s="50"/>
    </row>
    <row r="203" ht="12.75">
      <c r="F203" s="50"/>
    </row>
    <row r="204" ht="12.75">
      <c r="F204" s="50"/>
    </row>
    <row r="205" ht="12.75">
      <c r="F205" s="50"/>
    </row>
    <row r="206" ht="12.75">
      <c r="F206" s="50"/>
    </row>
    <row r="207" ht="12.75">
      <c r="F207" s="50"/>
    </row>
    <row r="208" ht="12.75">
      <c r="F208" s="50"/>
    </row>
    <row r="209" ht="12.75">
      <c r="F209" s="50"/>
    </row>
    <row r="210" ht="12.75">
      <c r="F210" s="50"/>
    </row>
    <row r="211" ht="12.75">
      <c r="F211" s="50"/>
    </row>
    <row r="212" ht="12.75">
      <c r="F212" s="50"/>
    </row>
    <row r="213" ht="12.75">
      <c r="F213" s="50"/>
    </row>
    <row r="214" ht="12.75">
      <c r="F214" s="50"/>
    </row>
    <row r="215" ht="12.75">
      <c r="F215" s="50"/>
    </row>
    <row r="216" ht="12.75">
      <c r="F216" s="50"/>
    </row>
    <row r="217" ht="12.75">
      <c r="F217" s="50"/>
    </row>
    <row r="218" ht="12.75">
      <c r="F218" s="50"/>
    </row>
    <row r="219" ht="12.75">
      <c r="F219" s="50"/>
    </row>
    <row r="220" ht="12.75">
      <c r="F220" s="50"/>
    </row>
    <row r="221" ht="12.75">
      <c r="F221" s="50"/>
    </row>
    <row r="222" ht="12.75">
      <c r="F222" s="50"/>
    </row>
    <row r="223" ht="12.75">
      <c r="F223" s="50"/>
    </row>
    <row r="224" ht="12.75">
      <c r="F224" s="50"/>
    </row>
    <row r="225" ht="12.75">
      <c r="F225" s="50"/>
    </row>
    <row r="226" ht="12.75">
      <c r="F226" s="50"/>
    </row>
    <row r="227" ht="12.75">
      <c r="F227" s="50"/>
    </row>
    <row r="228" ht="12.75">
      <c r="F228" s="50"/>
    </row>
    <row r="229" ht="12.75">
      <c r="F229" s="50"/>
    </row>
    <row r="230" ht="12.75">
      <c r="F230" s="50"/>
    </row>
    <row r="231" ht="12.75">
      <c r="F231" s="50"/>
    </row>
    <row r="232" ht="12.75">
      <c r="F232" s="50"/>
    </row>
    <row r="233" ht="12.75">
      <c r="F233" s="50"/>
    </row>
    <row r="234" ht="12.75">
      <c r="F234" s="50"/>
    </row>
    <row r="235" ht="12.75"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</sheetData>
  <sheetProtection/>
  <mergeCells count="46">
    <mergeCell ref="A89:A90"/>
    <mergeCell ref="A33:A34"/>
    <mergeCell ref="A81:A82"/>
    <mergeCell ref="A83:A84"/>
    <mergeCell ref="A85:A86"/>
    <mergeCell ref="A87:A88"/>
    <mergeCell ref="A5:A6"/>
    <mergeCell ref="A31:A32"/>
    <mergeCell ref="A49:A50"/>
    <mergeCell ref="A71:A72"/>
    <mergeCell ref="A67:A68"/>
    <mergeCell ref="A69:A70"/>
    <mergeCell ref="A73:A74"/>
    <mergeCell ref="A75:A76"/>
    <mergeCell ref="A77:A78"/>
    <mergeCell ref="A79:A80"/>
    <mergeCell ref="A55:A56"/>
    <mergeCell ref="A57:A58"/>
    <mergeCell ref="A59:A60"/>
    <mergeCell ref="A61:A62"/>
    <mergeCell ref="A63:A64"/>
    <mergeCell ref="A65:A66"/>
    <mergeCell ref="A21:A22"/>
    <mergeCell ref="A25:A26"/>
    <mergeCell ref="A27:A28"/>
    <mergeCell ref="A29:A30"/>
    <mergeCell ref="A23:A24"/>
    <mergeCell ref="A35:A36"/>
    <mergeCell ref="A9:A10"/>
    <mergeCell ref="A11:A12"/>
    <mergeCell ref="A13:A14"/>
    <mergeCell ref="A15:A16"/>
    <mergeCell ref="A17:A18"/>
    <mergeCell ref="A19:A20"/>
    <mergeCell ref="C3:N3"/>
    <mergeCell ref="A7:A8"/>
    <mergeCell ref="A37:A38"/>
    <mergeCell ref="A39:A40"/>
    <mergeCell ref="A41:A42"/>
    <mergeCell ref="A43:A44"/>
    <mergeCell ref="A1:AP1"/>
    <mergeCell ref="A2:AP2"/>
    <mergeCell ref="A45:A46"/>
    <mergeCell ref="A47:A48"/>
    <mergeCell ref="A51:A52"/>
    <mergeCell ref="A53:A54"/>
  </mergeCells>
  <printOptions/>
  <pageMargins left="0.5905511811023623" right="0.3937007874015748" top="0" bottom="0" header="0.11811023622047245" footer="0.11811023622047245"/>
  <pageSetup horizontalDpi="600" verticalDpi="600" orientation="portrait" paperSize="9" scale="49" r:id="rId1"/>
  <colBreaks count="1" manualBreakCount="1">
    <brk id="18" min="3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1"/>
  <sheetViews>
    <sheetView tabSelected="1" zoomScalePageLayoutView="0" workbookViewId="0" topLeftCell="A1">
      <pane xSplit="4" ySplit="4" topLeftCell="E5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0" sqref="G60"/>
    </sheetView>
  </sheetViews>
  <sheetFormatPr defaultColWidth="9.140625" defaultRowHeight="12.75"/>
  <cols>
    <col min="1" max="1" width="20.00390625" style="19" customWidth="1"/>
    <col min="2" max="2" width="7.7109375" style="19" customWidth="1"/>
    <col min="3" max="3" width="11.8515625" style="0" customWidth="1"/>
    <col min="4" max="4" width="12.00390625" style="0" customWidth="1"/>
    <col min="5" max="5" width="12.421875" style="0" customWidth="1"/>
    <col min="6" max="6" width="10.57421875" style="86" customWidth="1"/>
    <col min="7" max="7" width="10.7109375" style="0" customWidth="1"/>
    <col min="8" max="8" width="10.8515625" style="0" customWidth="1"/>
    <col min="9" max="9" width="10.421875" style="0" customWidth="1"/>
    <col min="10" max="12" width="10.8515625" style="0" customWidth="1"/>
    <col min="13" max="13" width="10.57421875" style="0" customWidth="1"/>
    <col min="14" max="14" width="11.7109375" style="0" customWidth="1"/>
    <col min="15" max="15" width="12.140625" style="0" customWidth="1"/>
    <col min="16" max="16" width="8.00390625" style="0" customWidth="1"/>
    <col min="17" max="17" width="7.57421875" style="0" customWidth="1"/>
    <col min="18" max="18" width="8.140625" style="0" hidden="1" customWidth="1"/>
    <col min="19" max="19" width="12.421875" style="0" hidden="1" customWidth="1"/>
    <col min="20" max="20" width="8.00390625" style="0" hidden="1" customWidth="1"/>
    <col min="21" max="26" width="6.7109375" style="0" customWidth="1"/>
    <col min="27" max="27" width="7.140625" style="0" customWidth="1"/>
    <col min="28" max="28" width="8.28125" style="0" customWidth="1"/>
    <col min="29" max="29" width="11.00390625" style="0" customWidth="1"/>
  </cols>
  <sheetData>
    <row r="1" spans="1:43" ht="20.25">
      <c r="A1" s="300" t="s">
        <v>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</row>
    <row r="2" spans="1:43" ht="20.25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</row>
    <row r="3" spans="3:17" ht="21" thickBot="1">
      <c r="C3" s="19"/>
      <c r="D3" s="302" t="s">
        <v>58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Q3" s="20"/>
    </row>
    <row r="4" spans="1:17" ht="30.75" customHeight="1" thickBot="1">
      <c r="A4" s="278"/>
      <c r="B4" s="305"/>
      <c r="C4" s="329" t="s">
        <v>9</v>
      </c>
      <c r="D4" s="329" t="s">
        <v>10</v>
      </c>
      <c r="E4" s="329" t="s">
        <v>11</v>
      </c>
      <c r="F4" s="329" t="s">
        <v>12</v>
      </c>
      <c r="G4" s="329" t="s">
        <v>13</v>
      </c>
      <c r="H4" s="329" t="s">
        <v>14</v>
      </c>
      <c r="I4" s="329" t="s">
        <v>15</v>
      </c>
      <c r="J4" s="329" t="s">
        <v>16</v>
      </c>
      <c r="K4" s="329" t="s">
        <v>17</v>
      </c>
      <c r="L4" s="329" t="s">
        <v>18</v>
      </c>
      <c r="M4" s="329" t="s">
        <v>19</v>
      </c>
      <c r="N4" s="330" t="s">
        <v>20</v>
      </c>
      <c r="O4" s="328" t="s">
        <v>0</v>
      </c>
      <c r="P4" s="299" t="s">
        <v>52</v>
      </c>
      <c r="Q4" s="299" t="s">
        <v>53</v>
      </c>
    </row>
    <row r="5" spans="1:19" ht="17.25" customHeight="1" thickBot="1">
      <c r="A5" s="313" t="s">
        <v>1</v>
      </c>
      <c r="B5" s="293" t="s">
        <v>40</v>
      </c>
      <c r="C5" s="303">
        <f>C7+C9+C11+C15+C17+C19+C21+C23+C25</f>
        <v>15151.873800000001</v>
      </c>
      <c r="D5" s="303">
        <f aca="true" t="shared" si="0" ref="D5:K5">D7+D9+D11+D15+D17+D19+D21+D23+D25</f>
        <v>14752.8621</v>
      </c>
      <c r="E5" s="303">
        <f t="shared" si="0"/>
        <v>13520.65</v>
      </c>
      <c r="F5" s="303">
        <f t="shared" si="0"/>
        <v>8225.46</v>
      </c>
      <c r="G5" s="303">
        <f t="shared" si="0"/>
        <v>7.223</v>
      </c>
      <c r="H5" s="303">
        <f t="shared" si="0"/>
        <v>1.37</v>
      </c>
      <c r="I5" s="303">
        <f t="shared" si="0"/>
        <v>1.1468</v>
      </c>
      <c r="J5" s="303">
        <f t="shared" si="0"/>
        <v>1.11581</v>
      </c>
      <c r="K5" s="303">
        <f t="shared" si="0"/>
        <v>2.53</v>
      </c>
      <c r="L5" s="303">
        <f>L7+L9+L11+L15+L17+L19+L21+L23+L25+L27+L29+L13</f>
        <v>7217.287085</v>
      </c>
      <c r="M5" s="303">
        <f>M7+M9+M11+M15+M17+M19+M21+M23+M25+M27+M29+M13</f>
        <v>10788.904</v>
      </c>
      <c r="N5" s="303">
        <f>N7+N9+N11+N15+N17+N19+N21+N23+N25+N27+N29+N13</f>
        <v>14591.837999999998</v>
      </c>
      <c r="O5" s="304">
        <f>C5+D5+E5+F5+G5+H5+I5+J5+K5+L5+M5+N5</f>
        <v>84262.260595</v>
      </c>
      <c r="P5" s="232"/>
      <c r="Q5" s="314"/>
      <c r="S5" s="20">
        <f>O7+O9+O11+O13+O15+O17+O19+O21+O25+O27+O29</f>
        <v>84151.216685</v>
      </c>
    </row>
    <row r="6" spans="1:20" ht="13.5" thickBot="1">
      <c r="A6" s="315"/>
      <c r="B6" s="294" t="s">
        <v>41</v>
      </c>
      <c r="C6" s="6">
        <f>C8+C10+C12+C16+C18+C20+C22+C24+C26</f>
        <v>16834942.19</v>
      </c>
      <c r="D6" s="6">
        <f aca="true" t="shared" si="1" ref="D6:K6">D8+D10+D12+D16+D18+D20+D22+D24+D26</f>
        <v>16391612.52</v>
      </c>
      <c r="E6" s="6">
        <f t="shared" si="1"/>
        <v>15022544.209999997</v>
      </c>
      <c r="F6" s="6">
        <f t="shared" si="1"/>
        <v>9139143.58</v>
      </c>
      <c r="G6" s="6">
        <f t="shared" si="1"/>
        <v>8024.630000000001</v>
      </c>
      <c r="H6" s="6">
        <f t="shared" si="1"/>
        <v>1524.02</v>
      </c>
      <c r="I6" s="6">
        <f t="shared" si="1"/>
        <v>1427.09</v>
      </c>
      <c r="J6" s="6">
        <f t="shared" si="1"/>
        <v>1388.52</v>
      </c>
      <c r="K6" s="6">
        <f t="shared" si="1"/>
        <v>3148.53</v>
      </c>
      <c r="L6" s="4">
        <f>L8+L10+L12+L16+L18+L20+L22+L24+L26+L28+L30+L14</f>
        <v>8965155.45</v>
      </c>
      <c r="M6" s="4">
        <f>M8+M10+M12+M16+M18+M20+M22+M24+M26+M28+M30+M14</f>
        <v>13401174.229999999</v>
      </c>
      <c r="N6" s="4">
        <f>N8+N10+N12+N16+N18+N20+N22+N24+N26+N28+N30+N14</f>
        <v>18125047.189999998</v>
      </c>
      <c r="O6" s="23">
        <f>C6+D6+E6+F6+G6+H6+I6+J6+K6+L6+M6+N6</f>
        <v>97895132.16000001</v>
      </c>
      <c r="P6" s="46"/>
      <c r="Q6" s="316"/>
      <c r="R6">
        <f>O6/O5</f>
        <v>1161.790954440747</v>
      </c>
      <c r="S6" s="20">
        <f>O8+O10+O12+O14+O16+O18+O20+O22+O26+O28+O30</f>
        <v>97767103.52</v>
      </c>
      <c r="T6" s="50">
        <f>S6/S5</f>
        <v>1161.8026140485622</v>
      </c>
    </row>
    <row r="7" spans="1:17" ht="24.75" customHeight="1" thickBot="1">
      <c r="A7" s="317" t="s">
        <v>33</v>
      </c>
      <c r="B7" s="17" t="s">
        <v>40</v>
      </c>
      <c r="C7" s="67">
        <v>51.762</v>
      </c>
      <c r="D7" s="67">
        <v>50.4233</v>
      </c>
      <c r="E7" s="67">
        <v>46.22</v>
      </c>
      <c r="F7" s="67">
        <v>28.01</v>
      </c>
      <c r="G7" s="67"/>
      <c r="H7" s="67"/>
      <c r="I7" s="67"/>
      <c r="J7" s="67"/>
      <c r="K7" s="67"/>
      <c r="L7" s="67">
        <v>24.60013</v>
      </c>
      <c r="M7" s="67">
        <v>36.412</v>
      </c>
      <c r="N7" s="68">
        <v>49.018</v>
      </c>
      <c r="O7" s="29">
        <f>C7+D7+E7+F7+G7+H7+I7+J7+K7+L7+M7+N7</f>
        <v>286.44543</v>
      </c>
      <c r="P7" s="46"/>
      <c r="Q7" s="316"/>
    </row>
    <row r="8" spans="1:19" ht="13.5" thickBot="1">
      <c r="A8" s="318"/>
      <c r="B8" s="17" t="s">
        <v>41</v>
      </c>
      <c r="C8" s="44">
        <v>57511.24</v>
      </c>
      <c r="D8" s="44">
        <v>56024.38</v>
      </c>
      <c r="E8" s="44">
        <v>51355.73</v>
      </c>
      <c r="F8" s="44">
        <v>31119.75</v>
      </c>
      <c r="G8" s="44"/>
      <c r="H8" s="44"/>
      <c r="I8" s="44"/>
      <c r="J8" s="44"/>
      <c r="K8" s="44"/>
      <c r="L8" s="44">
        <v>30612.65</v>
      </c>
      <c r="M8" s="44">
        <v>45311.94</v>
      </c>
      <c r="N8" s="70">
        <v>60998.83</v>
      </c>
      <c r="O8" s="198">
        <f aca="true" t="shared" si="2" ref="O8:O26">C8+D8+E8+F8+G8+H8+I8+J8+K8+L8+M8+N8</f>
        <v>332934.52</v>
      </c>
      <c r="P8" s="46">
        <f>(C8+D8+E8+F8+G8+H8)/(C7+D7+E7+F7+G7+H7)</f>
        <v>1111.0776672998318</v>
      </c>
      <c r="Q8" s="316">
        <v>1244.41</v>
      </c>
      <c r="R8">
        <f>O8/O7</f>
        <v>1162.2964974515392</v>
      </c>
      <c r="S8" s="265" t="e">
        <f>O8+O10+O12+O14+O16+O18+O20+O22+O24+#REF!+O26+O28+O30</f>
        <v>#REF!</v>
      </c>
    </row>
    <row r="9" spans="1:17" ht="16.5" customHeight="1" thickBot="1">
      <c r="A9" s="319" t="s">
        <v>34</v>
      </c>
      <c r="B9" s="17" t="s">
        <v>40</v>
      </c>
      <c r="C9" s="31">
        <v>81.3109</v>
      </c>
      <c r="D9" s="31">
        <v>79.225</v>
      </c>
      <c r="E9" s="31">
        <v>72.23</v>
      </c>
      <c r="F9" s="31">
        <v>44.01</v>
      </c>
      <c r="G9" s="31"/>
      <c r="H9" s="31"/>
      <c r="I9" s="31"/>
      <c r="J9" s="31"/>
      <c r="K9" s="31"/>
      <c r="L9" s="31">
        <v>38.627325</v>
      </c>
      <c r="M9" s="31">
        <v>57.188</v>
      </c>
      <c r="N9" s="32">
        <v>76.994</v>
      </c>
      <c r="O9" s="29">
        <f t="shared" si="2"/>
        <v>449.5852249999999</v>
      </c>
      <c r="P9" s="46"/>
      <c r="Q9" s="316"/>
    </row>
    <row r="10" spans="1:19" ht="13.5" thickBot="1">
      <c r="A10" s="318"/>
      <c r="B10" s="17" t="s">
        <v>41</v>
      </c>
      <c r="C10" s="45">
        <v>90342.87</v>
      </c>
      <c r="D10" s="45">
        <v>88025.2</v>
      </c>
      <c r="E10" s="45">
        <v>80258.74</v>
      </c>
      <c r="F10" s="31">
        <v>48900.37</v>
      </c>
      <c r="G10" s="45"/>
      <c r="H10" s="45"/>
      <c r="I10" s="45"/>
      <c r="J10" s="45"/>
      <c r="K10" s="45"/>
      <c r="L10" s="45">
        <v>48068.23</v>
      </c>
      <c r="M10" s="45">
        <v>71165.52</v>
      </c>
      <c r="N10" s="71">
        <v>95812.62</v>
      </c>
      <c r="O10" s="119">
        <f t="shared" si="2"/>
        <v>522573.55</v>
      </c>
      <c r="P10" s="46">
        <v>1111.08</v>
      </c>
      <c r="Q10" s="316">
        <f>(I10+J10+K10+L10+M10+N10)/(I9+J9+K9+L9+M9+N9)</f>
        <v>1244.4141541551649</v>
      </c>
      <c r="R10">
        <f>O10/O9</f>
        <v>1162.345915615888</v>
      </c>
      <c r="S10" s="20"/>
    </row>
    <row r="11" spans="1:17" ht="13.5" customHeight="1" thickBot="1">
      <c r="A11" s="273" t="s">
        <v>45</v>
      </c>
      <c r="B11" s="17" t="s">
        <v>40</v>
      </c>
      <c r="C11" s="31">
        <v>1665.76</v>
      </c>
      <c r="D11" s="31">
        <v>1620.09</v>
      </c>
      <c r="E11" s="31">
        <v>1487.38</v>
      </c>
      <c r="F11" s="31">
        <v>901.43</v>
      </c>
      <c r="G11" s="31">
        <v>-0.028</v>
      </c>
      <c r="H11" s="31"/>
      <c r="I11" s="31"/>
      <c r="J11" s="31"/>
      <c r="K11" s="31"/>
      <c r="L11" s="31">
        <v>178.688</v>
      </c>
      <c r="M11" s="45"/>
      <c r="N11" s="32"/>
      <c r="O11" s="29">
        <f t="shared" si="2"/>
        <v>5853.32</v>
      </c>
      <c r="P11" s="46"/>
      <c r="Q11" s="316"/>
    </row>
    <row r="12" spans="1:18" ht="23.25" customHeight="1" thickBot="1">
      <c r="A12" s="274"/>
      <c r="B12" s="17" t="s">
        <v>41</v>
      </c>
      <c r="C12" s="45">
        <v>1850793.19</v>
      </c>
      <c r="D12" s="45">
        <v>1800048.04</v>
      </c>
      <c r="E12" s="45">
        <v>1652598.74</v>
      </c>
      <c r="F12" s="45">
        <v>1001559.31</v>
      </c>
      <c r="G12" s="45">
        <v>-31.51</v>
      </c>
      <c r="H12" s="45"/>
      <c r="I12" s="45"/>
      <c r="J12" s="45"/>
      <c r="K12" s="45"/>
      <c r="L12" s="45">
        <v>222361.13</v>
      </c>
      <c r="M12" s="31"/>
      <c r="N12" s="71"/>
      <c r="O12" s="119">
        <f t="shared" si="2"/>
        <v>6527328.899999999</v>
      </c>
      <c r="P12" s="46">
        <f>(C12+D12+E12+F12+G12+H12)/(C11+D11+E11+F11+G11+H11)</f>
        <v>1111.079585425099</v>
      </c>
      <c r="Q12" s="316">
        <f>(I12+J12+K12+L12+M12+N12)/(I11+J11+K11+L11+M11+N11)</f>
        <v>1244.4099771669055</v>
      </c>
      <c r="R12">
        <f>O12/O11</f>
        <v>1115.149846582794</v>
      </c>
    </row>
    <row r="13" spans="1:17" ht="15" customHeight="1" thickBot="1">
      <c r="A13" s="275" t="s">
        <v>46</v>
      </c>
      <c r="B13" s="17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v>612.645</v>
      </c>
      <c r="M13" s="31">
        <v>1115.771</v>
      </c>
      <c r="N13" s="32">
        <v>1577.06</v>
      </c>
      <c r="O13" s="29">
        <f>C13+D13+E13+F13+G13+H13+I13+J13+K13+L13+M13+N13</f>
        <v>3305.4759999999997</v>
      </c>
      <c r="P13" s="46"/>
      <c r="Q13" s="316"/>
    </row>
    <row r="14" spans="1:18" ht="29.25" customHeight="1" thickBot="1">
      <c r="A14" s="276"/>
      <c r="B14" s="17" t="s">
        <v>41</v>
      </c>
      <c r="C14" s="45"/>
      <c r="D14" s="45"/>
      <c r="E14" s="45"/>
      <c r="F14" s="45"/>
      <c r="G14" s="45"/>
      <c r="H14" s="45"/>
      <c r="I14" s="45"/>
      <c r="J14" s="45"/>
      <c r="K14" s="45"/>
      <c r="L14" s="45">
        <v>762381.56</v>
      </c>
      <c r="M14" s="45">
        <v>1388476.92</v>
      </c>
      <c r="N14" s="71">
        <v>1962509.32</v>
      </c>
      <c r="O14" s="119">
        <f>C14+D14+E14+F14+G14+H14+I14+J14+K14+L14+M14+N14</f>
        <v>4113367.8</v>
      </c>
      <c r="P14" s="46"/>
      <c r="Q14" s="316">
        <f>(I14+J14+K14+L14+M14+N14)/(I13+J13+K13+L13+M13+N13)</f>
        <v>1244.4101242907225</v>
      </c>
      <c r="R14">
        <f>O14/O13</f>
        <v>1244.4101242907225</v>
      </c>
    </row>
    <row r="15" spans="1:17" ht="13.5" customHeight="1" thickBot="1">
      <c r="A15" s="273" t="s">
        <v>3</v>
      </c>
      <c r="B15" s="17" t="s">
        <v>40</v>
      </c>
      <c r="C15" s="31">
        <v>15.106</v>
      </c>
      <c r="D15" s="31">
        <v>15.137</v>
      </c>
      <c r="E15" s="31">
        <v>13.87</v>
      </c>
      <c r="F15" s="31">
        <v>8.41</v>
      </c>
      <c r="G15" s="31"/>
      <c r="H15" s="31"/>
      <c r="I15" s="31"/>
      <c r="J15" s="31"/>
      <c r="K15" s="31"/>
      <c r="L15" s="31">
        <v>7.37756</v>
      </c>
      <c r="M15" s="31">
        <v>11.286</v>
      </c>
      <c r="N15" s="32">
        <v>15.195</v>
      </c>
      <c r="O15" s="29">
        <f t="shared" si="2"/>
        <v>86.38156000000001</v>
      </c>
      <c r="P15" s="46"/>
      <c r="Q15" s="316"/>
    </row>
    <row r="16" spans="1:18" ht="13.5" thickBot="1">
      <c r="A16" s="274"/>
      <c r="B16" s="17" t="s">
        <v>41</v>
      </c>
      <c r="C16" s="45">
        <v>16784.27</v>
      </c>
      <c r="D16" s="45">
        <v>16818.25</v>
      </c>
      <c r="E16" s="45">
        <v>15410.9</v>
      </c>
      <c r="F16" s="45">
        <v>9342.98</v>
      </c>
      <c r="G16" s="45"/>
      <c r="H16" s="45"/>
      <c r="I16" s="45"/>
      <c r="J16" s="45"/>
      <c r="K16" s="45"/>
      <c r="L16" s="45">
        <v>9180.72</v>
      </c>
      <c r="M16" s="45">
        <v>14044.96</v>
      </c>
      <c r="N16" s="71">
        <v>18909.22</v>
      </c>
      <c r="O16" s="29">
        <f t="shared" si="2"/>
        <v>100491.30000000002</v>
      </c>
      <c r="P16" s="46">
        <v>1111.08</v>
      </c>
      <c r="Q16" s="316">
        <v>1244.41</v>
      </c>
      <c r="R16">
        <f>O16/O15</f>
        <v>1163.3420373514905</v>
      </c>
    </row>
    <row r="17" spans="1:17" ht="13.5" thickBot="1">
      <c r="A17" s="273" t="s">
        <v>4</v>
      </c>
      <c r="B17" s="17" t="s">
        <v>40</v>
      </c>
      <c r="C17" s="31">
        <v>8669.64</v>
      </c>
      <c r="D17" s="31">
        <v>8450.36</v>
      </c>
      <c r="E17" s="31">
        <v>7737.73</v>
      </c>
      <c r="F17" s="31">
        <v>4716.81</v>
      </c>
      <c r="G17" s="31">
        <v>2.967</v>
      </c>
      <c r="H17" s="187"/>
      <c r="I17" s="31"/>
      <c r="J17" s="31"/>
      <c r="K17" s="31"/>
      <c r="L17" s="199">
        <v>4086.3543</v>
      </c>
      <c r="M17" s="241">
        <v>6103.951</v>
      </c>
      <c r="N17" s="32">
        <v>8212.292</v>
      </c>
      <c r="O17" s="29">
        <f t="shared" si="2"/>
        <v>47980.104300000006</v>
      </c>
      <c r="P17" s="46"/>
      <c r="Q17" s="316"/>
    </row>
    <row r="18" spans="1:18" ht="13.5" thickBot="1">
      <c r="A18" s="274"/>
      <c r="B18" s="17" t="s">
        <v>41</v>
      </c>
      <c r="C18" s="45">
        <v>9632663.05</v>
      </c>
      <c r="D18" s="45">
        <v>9389022.94</v>
      </c>
      <c r="E18" s="45">
        <v>8597241.86</v>
      </c>
      <c r="F18" s="45">
        <v>5240755.26</v>
      </c>
      <c r="G18" s="45">
        <v>3296.92</v>
      </c>
      <c r="H18" s="188"/>
      <c r="I18" s="45"/>
      <c r="J18" s="45"/>
      <c r="K18" s="45"/>
      <c r="L18" s="55">
        <v>5085100.19</v>
      </c>
      <c r="M18" s="69">
        <v>7595817.39</v>
      </c>
      <c r="N18" s="71">
        <v>10219458.64</v>
      </c>
      <c r="O18" s="29">
        <f t="shared" si="2"/>
        <v>55763356.25</v>
      </c>
      <c r="P18" s="46">
        <f>(C18+D18+E18+F18+G18+H18)/(C17+D17+E17+F17+G17+H17)</f>
        <v>1111.0801201061333</v>
      </c>
      <c r="Q18" s="316">
        <f>(I18+J18+K18+L18+M18+N18)/(I17+J17+K17+L17+M17+N17)</f>
        <v>1244.4100061897238</v>
      </c>
      <c r="R18">
        <f>O18/O17</f>
        <v>1162.218320771762</v>
      </c>
    </row>
    <row r="19" spans="1:17" ht="23.25" customHeight="1" thickBot="1">
      <c r="A19" s="273" t="s">
        <v>47</v>
      </c>
      <c r="B19" s="17" t="s">
        <v>40</v>
      </c>
      <c r="C19" s="31">
        <v>142.6209</v>
      </c>
      <c r="D19" s="31">
        <v>138.703</v>
      </c>
      <c r="E19" s="31">
        <v>127.09</v>
      </c>
      <c r="F19" s="31">
        <v>76.41</v>
      </c>
      <c r="G19" s="31"/>
      <c r="H19" s="31"/>
      <c r="I19" s="31"/>
      <c r="J19" s="31"/>
      <c r="K19" s="31"/>
      <c r="L19" s="31">
        <v>65.774</v>
      </c>
      <c r="M19" s="31">
        <v>99.798</v>
      </c>
      <c r="N19" s="32">
        <v>137.081</v>
      </c>
      <c r="O19" s="29">
        <f t="shared" si="2"/>
        <v>787.4769</v>
      </c>
      <c r="P19" s="46"/>
      <c r="Q19" s="316"/>
    </row>
    <row r="20" spans="1:18" ht="22.5" customHeight="1" thickBot="1">
      <c r="A20" s="274"/>
      <c r="B20" s="17" t="s">
        <v>41</v>
      </c>
      <c r="C20" s="45">
        <v>158463.25</v>
      </c>
      <c r="D20" s="45">
        <v>154110.06</v>
      </c>
      <c r="E20" s="45">
        <v>141211.18</v>
      </c>
      <c r="F20" s="45">
        <v>84895.26</v>
      </c>
      <c r="G20" s="45"/>
      <c r="H20" s="45"/>
      <c r="I20" s="45"/>
      <c r="J20" s="45"/>
      <c r="K20" s="45"/>
      <c r="L20" s="45">
        <v>81850.13</v>
      </c>
      <c r="M20" s="45">
        <v>124189.22</v>
      </c>
      <c r="N20" s="71">
        <v>170585.58</v>
      </c>
      <c r="O20" s="29">
        <f t="shared" si="2"/>
        <v>915304.6799999999</v>
      </c>
      <c r="P20" s="46">
        <f>(C20+D20+E20+F20+G20+H20)/(C19+D19+E19+F19+G19+H19)</f>
        <v>1111.0833232437592</v>
      </c>
      <c r="Q20" s="316">
        <f>(I20+J20+K20+L20+M20+N20)/(I19+J19+K19+L19+M19+N19)</f>
        <v>1244.4116859902263</v>
      </c>
      <c r="R20">
        <f>O20/O19</f>
        <v>1162.3257520315833</v>
      </c>
    </row>
    <row r="21" spans="1:19" ht="18" customHeight="1" thickBot="1">
      <c r="A21" s="273" t="s">
        <v>5</v>
      </c>
      <c r="B21" s="17" t="s">
        <v>40</v>
      </c>
      <c r="C21" s="31">
        <v>243.674</v>
      </c>
      <c r="D21" s="31">
        <v>237.4038</v>
      </c>
      <c r="E21" s="31">
        <v>217.58</v>
      </c>
      <c r="F21" s="31">
        <v>131.87</v>
      </c>
      <c r="G21" s="31"/>
      <c r="H21" s="31"/>
      <c r="I21" s="31"/>
      <c r="J21" s="31"/>
      <c r="K21" s="31"/>
      <c r="L21" s="31">
        <v>112.046</v>
      </c>
      <c r="M21" s="31">
        <v>171.373</v>
      </c>
      <c r="N21" s="32">
        <v>230.748</v>
      </c>
      <c r="O21" s="29">
        <f t="shared" si="2"/>
        <v>1344.6948000000002</v>
      </c>
      <c r="P21" s="46"/>
      <c r="Q21" s="316"/>
      <c r="S21" s="59"/>
    </row>
    <row r="22" spans="1:18" ht="13.5" thickBot="1">
      <c r="A22" s="274"/>
      <c r="B22" s="17" t="s">
        <v>41</v>
      </c>
      <c r="C22" s="45">
        <v>270741.45</v>
      </c>
      <c r="D22" s="45">
        <v>263774.61</v>
      </c>
      <c r="E22" s="45">
        <v>241748.75</v>
      </c>
      <c r="F22" s="45">
        <v>146517.65</v>
      </c>
      <c r="G22" s="45"/>
      <c r="H22" s="45"/>
      <c r="I22" s="45"/>
      <c r="J22" s="45"/>
      <c r="K22" s="45"/>
      <c r="L22" s="45">
        <v>139430.85</v>
      </c>
      <c r="M22" s="45">
        <v>213257.69</v>
      </c>
      <c r="N22" s="71">
        <v>287144.65</v>
      </c>
      <c r="O22" s="29">
        <f t="shared" si="2"/>
        <v>1562615.65</v>
      </c>
      <c r="P22" s="46">
        <f>(C22+D22+E22+F22+G22+H22)/(C21+D21+E21+F21+G21+H21)</f>
        <v>1111.0795568793724</v>
      </c>
      <c r="Q22" s="316">
        <f>(I22+J22+K22+L22+M22+N22)/(I21+J21+K21+L21+M21+N21)</f>
        <v>1244.4073423615287</v>
      </c>
      <c r="R22">
        <f>O22/O21</f>
        <v>1162.059710500851</v>
      </c>
    </row>
    <row r="23" spans="1:17" ht="13.5" thickBot="1">
      <c r="A23" s="273" t="s">
        <v>6</v>
      </c>
      <c r="B23" s="17" t="s">
        <v>40</v>
      </c>
      <c r="C23" s="31">
        <v>21.79</v>
      </c>
      <c r="D23" s="45">
        <v>17.17</v>
      </c>
      <c r="E23" s="45">
        <v>16.8</v>
      </c>
      <c r="F23" s="45">
        <v>14.36</v>
      </c>
      <c r="G23" s="31">
        <v>4.739</v>
      </c>
      <c r="H23" s="63">
        <v>1.37</v>
      </c>
      <c r="I23" s="63">
        <v>1.1468</v>
      </c>
      <c r="J23" s="63">
        <v>1.11581</v>
      </c>
      <c r="K23" s="31">
        <v>2.53</v>
      </c>
      <c r="L23" s="31">
        <v>8.4583</v>
      </c>
      <c r="M23" s="31">
        <v>8.582</v>
      </c>
      <c r="N23" s="32">
        <v>12.982</v>
      </c>
      <c r="O23" s="29">
        <f t="shared" si="2"/>
        <v>111.04391000000001</v>
      </c>
      <c r="P23" s="46"/>
      <c r="Q23" s="316"/>
    </row>
    <row r="24" spans="1:18" ht="13.5" thickBot="1">
      <c r="A24" s="274"/>
      <c r="B24" s="17" t="s">
        <v>41</v>
      </c>
      <c r="C24" s="45">
        <v>24210.56</v>
      </c>
      <c r="D24" s="45">
        <v>19079.21</v>
      </c>
      <c r="E24" s="45">
        <v>18668.34</v>
      </c>
      <c r="F24" s="45">
        <v>15956.96</v>
      </c>
      <c r="G24" s="45">
        <v>5265.29</v>
      </c>
      <c r="H24" s="45">
        <v>1524.02</v>
      </c>
      <c r="I24" s="45">
        <v>1427.09</v>
      </c>
      <c r="J24" s="45">
        <v>1388.52</v>
      </c>
      <c r="K24" s="45">
        <v>3148.53</v>
      </c>
      <c r="L24" s="45">
        <v>10525.55</v>
      </c>
      <c r="M24" s="45">
        <v>10679.83</v>
      </c>
      <c r="N24" s="45">
        <v>16154.74</v>
      </c>
      <c r="O24" s="306">
        <f t="shared" si="2"/>
        <v>128028.64000000001</v>
      </c>
      <c r="P24" s="46">
        <v>1111.08</v>
      </c>
      <c r="Q24" s="316">
        <v>1244.41</v>
      </c>
      <c r="R24">
        <f>O24/O23</f>
        <v>1152.9550787611856</v>
      </c>
    </row>
    <row r="25" spans="1:17" ht="13.5" thickBot="1">
      <c r="A25" s="273" t="s">
        <v>48</v>
      </c>
      <c r="B25" s="17" t="s">
        <v>40</v>
      </c>
      <c r="C25" s="43">
        <v>4260.21</v>
      </c>
      <c r="D25" s="43">
        <v>4144.35</v>
      </c>
      <c r="E25" s="43">
        <v>3801.75</v>
      </c>
      <c r="F25" s="43">
        <v>2304.15</v>
      </c>
      <c r="G25" s="118">
        <v>-0.455</v>
      </c>
      <c r="H25" s="43"/>
      <c r="I25" s="43"/>
      <c r="J25" s="43"/>
      <c r="K25" s="43"/>
      <c r="L25" s="118">
        <v>1950.511</v>
      </c>
      <c r="M25" s="118">
        <v>2982.271</v>
      </c>
      <c r="N25" s="118">
        <v>4008.13</v>
      </c>
      <c r="O25" s="307">
        <f t="shared" si="2"/>
        <v>23450.917</v>
      </c>
      <c r="P25" s="46"/>
      <c r="Q25" s="316"/>
    </row>
    <row r="26" spans="1:19" ht="19.5" customHeight="1" thickBot="1">
      <c r="A26" s="274"/>
      <c r="B26" s="17" t="s">
        <v>41</v>
      </c>
      <c r="C26" s="43">
        <v>4733432.31</v>
      </c>
      <c r="D26" s="43">
        <v>4604709.83</v>
      </c>
      <c r="E26" s="43">
        <v>4224049.97</v>
      </c>
      <c r="F26" s="43">
        <v>2560096.04</v>
      </c>
      <c r="G26" s="43">
        <v>-506.07</v>
      </c>
      <c r="H26" s="43"/>
      <c r="I26" s="43"/>
      <c r="J26" s="43"/>
      <c r="K26" s="43"/>
      <c r="L26" s="43">
        <v>2427235.85</v>
      </c>
      <c r="M26" s="43">
        <v>3711168.32</v>
      </c>
      <c r="N26" s="80">
        <v>4987757.29</v>
      </c>
      <c r="O26" s="38">
        <f t="shared" si="2"/>
        <v>27247943.54</v>
      </c>
      <c r="P26" s="46">
        <f>(C26+D26+E26+F26+G26+H26)/(C25+D25+E25+F25+G25+H25)</f>
        <v>1111.0803945277755</v>
      </c>
      <c r="Q26" s="316">
        <f>(I26+J26+K26+L26+M26+N26)/(I25+J25+K25+L25+M25+N25)</f>
        <v>1244.4101295259366</v>
      </c>
      <c r="R26">
        <f>O26/O25</f>
        <v>1161.9137767619065</v>
      </c>
      <c r="S26" s="20"/>
    </row>
    <row r="27" spans="1:17" ht="13.5" thickBot="1">
      <c r="A27" s="275" t="s">
        <v>49</v>
      </c>
      <c r="B27" s="17" t="s">
        <v>40</v>
      </c>
      <c r="C27" s="75"/>
      <c r="D27" s="75"/>
      <c r="E27" s="75"/>
      <c r="F27" s="75"/>
      <c r="G27" s="116"/>
      <c r="H27" s="75"/>
      <c r="I27" s="75"/>
      <c r="J27" s="75"/>
      <c r="K27" s="75"/>
      <c r="L27" s="116">
        <v>21.08247</v>
      </c>
      <c r="M27" s="116">
        <v>32.256</v>
      </c>
      <c r="N27" s="253">
        <v>43.429</v>
      </c>
      <c r="O27" s="38">
        <f aca="true" t="shared" si="3" ref="O27:O32">C27+D27+E27+F27+G27+H27+I27+J27+K27+L27+M27+N27</f>
        <v>96.76747</v>
      </c>
      <c r="P27" s="46"/>
      <c r="Q27" s="316"/>
    </row>
    <row r="28" spans="1:19" ht="22.5" customHeight="1" thickBot="1">
      <c r="A28" s="276"/>
      <c r="B28" s="17" t="s">
        <v>41</v>
      </c>
      <c r="C28" s="43"/>
      <c r="D28" s="43"/>
      <c r="E28" s="43"/>
      <c r="F28" s="43"/>
      <c r="G28" s="43"/>
      <c r="H28" s="43"/>
      <c r="I28" s="43"/>
      <c r="J28" s="43"/>
      <c r="K28" s="43"/>
      <c r="L28" s="43">
        <v>23666.34</v>
      </c>
      <c r="M28" s="43">
        <v>36209.11</v>
      </c>
      <c r="N28" s="80">
        <v>48751.85</v>
      </c>
      <c r="O28" s="38">
        <f t="shared" si="3"/>
        <v>108627.29999999999</v>
      </c>
      <c r="P28" s="46"/>
      <c r="Q28" s="316">
        <f>(I28+J28+K28+L28+M28+N28)/(I27+J27+K27+L27+M27+N27)</f>
        <v>1122.5600917333065</v>
      </c>
      <c r="R28">
        <f>O28/O27</f>
        <v>1122.5600917333065</v>
      </c>
      <c r="S28" s="20"/>
    </row>
    <row r="29" spans="1:17" ht="13.5" thickBot="1">
      <c r="A29" s="275" t="s">
        <v>50</v>
      </c>
      <c r="B29" s="17" t="s">
        <v>40</v>
      </c>
      <c r="C29" s="75"/>
      <c r="D29" s="75"/>
      <c r="E29" s="75"/>
      <c r="F29" s="75"/>
      <c r="G29" s="116"/>
      <c r="H29" s="75"/>
      <c r="I29" s="75"/>
      <c r="J29" s="75"/>
      <c r="K29" s="75"/>
      <c r="L29" s="116">
        <v>111.123</v>
      </c>
      <c r="M29" s="116">
        <v>170.016</v>
      </c>
      <c r="N29" s="253">
        <v>228.909</v>
      </c>
      <c r="O29" s="38">
        <f t="shared" si="3"/>
        <v>510.048</v>
      </c>
      <c r="P29" s="46"/>
      <c r="Q29" s="316"/>
    </row>
    <row r="30" spans="1:19" ht="19.5" customHeight="1" thickBot="1">
      <c r="A30" s="320"/>
      <c r="B30" s="284" t="s">
        <v>41</v>
      </c>
      <c r="C30" s="78"/>
      <c r="D30" s="78"/>
      <c r="E30" s="78"/>
      <c r="F30" s="78"/>
      <c r="G30" s="78"/>
      <c r="H30" s="78"/>
      <c r="I30" s="78"/>
      <c r="J30" s="78"/>
      <c r="K30" s="78"/>
      <c r="L30" s="43">
        <v>124742.25</v>
      </c>
      <c r="M30" s="78">
        <v>190853.33</v>
      </c>
      <c r="N30" s="80">
        <v>256964.45</v>
      </c>
      <c r="O30" s="38">
        <f t="shared" si="3"/>
        <v>572560.03</v>
      </c>
      <c r="P30" s="222"/>
      <c r="Q30" s="321">
        <f>(I30+J30+K30+L30+M30+N30)/(I29+J29+K29+L29+M29+N29)</f>
        <v>1122.5610726833554</v>
      </c>
      <c r="R30">
        <f>O30/O29</f>
        <v>1122.5610726833554</v>
      </c>
      <c r="S30" s="20"/>
    </row>
    <row r="31" spans="1:17" ht="15" customHeight="1" thickBot="1">
      <c r="A31" s="289" t="s">
        <v>21</v>
      </c>
      <c r="B31" s="293" t="s">
        <v>54</v>
      </c>
      <c r="C31" s="6">
        <f>C33+C35+C39+C41+C43+C45</f>
        <v>28579.279999999995</v>
      </c>
      <c r="D31" s="6">
        <f aca="true" t="shared" si="4" ref="D31:K31">D33+D35+D39+D41+D43+D45</f>
        <v>26939.41</v>
      </c>
      <c r="E31" s="6">
        <f t="shared" si="4"/>
        <v>26783.04</v>
      </c>
      <c r="F31" s="87">
        <f>F33+F35+F39+F41+F43+F45</f>
        <v>26116.589999999997</v>
      </c>
      <c r="G31" s="6">
        <f t="shared" si="4"/>
        <v>19954.581</v>
      </c>
      <c r="H31" s="6">
        <f t="shared" si="4"/>
        <v>15367.087000000001</v>
      </c>
      <c r="I31" s="6">
        <f t="shared" si="4"/>
        <v>13585.198</v>
      </c>
      <c r="J31" s="6">
        <f t="shared" si="4"/>
        <v>17271.793</v>
      </c>
      <c r="K31" s="6">
        <f t="shared" si="4"/>
        <v>19034.417999999998</v>
      </c>
      <c r="L31" s="6">
        <f>L33+L35+L39+L41+L43+L45+L47+L37</f>
        <v>25678.082</v>
      </c>
      <c r="M31" s="6">
        <f>M33+M35+M39+M41+M43+M45+M47+M37</f>
        <v>26256.728000000003</v>
      </c>
      <c r="N31" s="6">
        <f>N33+N35+N39+N41+N43+N45+N37+N47</f>
        <v>25747.248</v>
      </c>
      <c r="O31" s="233">
        <f t="shared" si="3"/>
        <v>271313.455</v>
      </c>
      <c r="P31" s="232"/>
      <c r="Q31" s="314"/>
    </row>
    <row r="32" spans="1:18" s="20" customFormat="1" ht="13.5" thickBot="1">
      <c r="A32" s="291"/>
      <c r="B32" s="292" t="s">
        <v>41</v>
      </c>
      <c r="C32" s="4">
        <f aca="true" t="shared" si="5" ref="C32:K32">C34+C36+C40+C42+C44+C46</f>
        <v>1905094.72</v>
      </c>
      <c r="D32" s="4">
        <f t="shared" si="5"/>
        <v>1795782.07</v>
      </c>
      <c r="E32" s="4">
        <f t="shared" si="5"/>
        <v>1785358.21</v>
      </c>
      <c r="F32" s="88">
        <f t="shared" si="5"/>
        <v>1740931.3899999997</v>
      </c>
      <c r="G32" s="4">
        <f t="shared" si="5"/>
        <v>1330172.3900000001</v>
      </c>
      <c r="H32" s="4">
        <f t="shared" si="5"/>
        <v>1024370.0700000001</v>
      </c>
      <c r="I32" s="4">
        <f t="shared" si="5"/>
        <v>1014270.76</v>
      </c>
      <c r="J32" s="4">
        <f t="shared" si="5"/>
        <v>1289511.99</v>
      </c>
      <c r="K32" s="4">
        <f t="shared" si="5"/>
        <v>1421109.54</v>
      </c>
      <c r="L32" s="4">
        <f>L34+L36+L40+L42+L44+L46+L48+L38</f>
        <v>1917125.4699999997</v>
      </c>
      <c r="M32" s="4">
        <f>M34+M36+M40+M42+M44+M46+M48+M38</f>
        <v>1960327.3099999996</v>
      </c>
      <c r="N32" s="4">
        <f>N34+N36+N40+N42+N44+N46+N38+N48</f>
        <v>1922289.4600000004</v>
      </c>
      <c r="O32" s="23">
        <f t="shared" si="3"/>
        <v>19106343.38</v>
      </c>
      <c r="P32" s="46"/>
      <c r="Q32" s="316"/>
      <c r="R32">
        <f>O32/O31</f>
        <v>70.42165815182294</v>
      </c>
    </row>
    <row r="33" spans="1:19" ht="15" customHeight="1" thickBot="1">
      <c r="A33" s="317" t="s">
        <v>34</v>
      </c>
      <c r="B33" s="17" t="s">
        <v>44</v>
      </c>
      <c r="C33" s="67">
        <v>523.37</v>
      </c>
      <c r="D33" s="67">
        <v>280</v>
      </c>
      <c r="E33" s="67">
        <v>274.97</v>
      </c>
      <c r="F33" s="67">
        <v>269.12</v>
      </c>
      <c r="G33" s="67">
        <v>317.843</v>
      </c>
      <c r="H33" s="67">
        <v>173.452</v>
      </c>
      <c r="I33" s="67">
        <v>213.252</v>
      </c>
      <c r="J33" s="67">
        <v>254.792</v>
      </c>
      <c r="K33" s="67">
        <v>315.094</v>
      </c>
      <c r="L33" s="67">
        <v>274.726</v>
      </c>
      <c r="M33" s="67">
        <v>235.812</v>
      </c>
      <c r="N33" s="68">
        <v>282.948</v>
      </c>
      <c r="O33" s="29">
        <f aca="true" t="shared" si="6" ref="O33:O48">C33+D33+E33+F33+G33+H33+I33+J33+K33+L33+M33+N33</f>
        <v>3415.379</v>
      </c>
      <c r="P33" s="46"/>
      <c r="Q33" s="316"/>
      <c r="S33" s="50">
        <f>O34+O36+O38+O40+O42+O44+O46+O48</f>
        <v>19106343.380000003</v>
      </c>
    </row>
    <row r="34" spans="1:18" s="20" customFormat="1" ht="13.5" thickBot="1">
      <c r="A34" s="318"/>
      <c r="B34" s="267" t="s">
        <v>41</v>
      </c>
      <c r="C34" s="44">
        <v>34888.12</v>
      </c>
      <c r="D34" s="44">
        <v>18664.77</v>
      </c>
      <c r="E34" s="44">
        <v>18329.65</v>
      </c>
      <c r="F34" s="44">
        <v>17939.34</v>
      </c>
      <c r="G34" s="44">
        <v>21187.41</v>
      </c>
      <c r="H34" s="44">
        <v>11562.32</v>
      </c>
      <c r="I34" s="44">
        <v>15921.36</v>
      </c>
      <c r="J34" s="44">
        <v>19022.74</v>
      </c>
      <c r="K34" s="44">
        <v>23524.9</v>
      </c>
      <c r="L34" s="44">
        <v>20511.03</v>
      </c>
      <c r="M34" s="44">
        <v>17605.76</v>
      </c>
      <c r="N34" s="70">
        <v>21124.87</v>
      </c>
      <c r="O34" s="29">
        <f t="shared" si="6"/>
        <v>240282.27000000002</v>
      </c>
      <c r="P34" s="46">
        <f>(C34+D34+E34+F34+G34+H34)/(C33+D33+E33+F33+G33+H33)</f>
        <v>66.66010969378738</v>
      </c>
      <c r="Q34" s="316">
        <f>(I34+J34+K34+L34+M34+N34)/(I33+J33+K33+L33+M33+N33)</f>
        <v>74.65994428601874</v>
      </c>
      <c r="R34">
        <f>O34/O33</f>
        <v>70.3530325624184</v>
      </c>
    </row>
    <row r="35" spans="1:17" ht="13.5" thickBot="1">
      <c r="A35" s="273" t="s">
        <v>45</v>
      </c>
      <c r="B35" s="17" t="s">
        <v>44</v>
      </c>
      <c r="C35" s="31">
        <v>339.74</v>
      </c>
      <c r="D35" s="31">
        <v>374.15</v>
      </c>
      <c r="E35" s="31">
        <v>375.23</v>
      </c>
      <c r="F35" s="31">
        <v>379.88</v>
      </c>
      <c r="G35" s="31">
        <v>200.894</v>
      </c>
      <c r="H35" s="31">
        <v>79.829</v>
      </c>
      <c r="I35" s="31">
        <v>84.703</v>
      </c>
      <c r="J35" s="31">
        <v>53.055</v>
      </c>
      <c r="K35" s="31">
        <v>73.806</v>
      </c>
      <c r="L35" s="31"/>
      <c r="M35" s="31"/>
      <c r="N35" s="32"/>
      <c r="O35" s="29">
        <f t="shared" si="6"/>
        <v>1961.287</v>
      </c>
      <c r="P35" s="46"/>
      <c r="Q35" s="316"/>
    </row>
    <row r="36" spans="1:18" s="20" customFormat="1" ht="19.5" customHeight="1" thickBot="1">
      <c r="A36" s="274"/>
      <c r="B36" s="267" t="s">
        <v>41</v>
      </c>
      <c r="C36" s="45">
        <v>22647.12</v>
      </c>
      <c r="D36" s="45">
        <v>24941.11</v>
      </c>
      <c r="E36" s="45">
        <v>25012.89</v>
      </c>
      <c r="F36" s="45">
        <v>25322.53</v>
      </c>
      <c r="G36" s="45">
        <v>13391.57</v>
      </c>
      <c r="H36" s="45">
        <v>5321.42</v>
      </c>
      <c r="I36" s="45">
        <v>6323.89</v>
      </c>
      <c r="J36" s="45">
        <v>3961.06</v>
      </c>
      <c r="K36" s="45">
        <v>5510.35</v>
      </c>
      <c r="L36" s="45"/>
      <c r="M36" s="45"/>
      <c r="N36" s="71"/>
      <c r="O36" s="29">
        <f t="shared" si="6"/>
        <v>132431.94</v>
      </c>
      <c r="P36" s="46">
        <f>(C36+D36+E36+F36+G36+H36)/(C35+D35+E35+F35+G35+H35)</f>
        <v>66.66005990662522</v>
      </c>
      <c r="Q36" s="316">
        <f>(I36+J36+K36+L36+M36+N36)/(I35+J35+K35+L35+M35+N35)</f>
        <v>74.6596774498497</v>
      </c>
      <c r="R36">
        <f>O36/O35</f>
        <v>67.52297853399324</v>
      </c>
    </row>
    <row r="37" spans="1:17" ht="15" customHeight="1" thickBot="1">
      <c r="A37" s="275" t="s">
        <v>46</v>
      </c>
      <c r="B37" s="17" t="s">
        <v>44</v>
      </c>
      <c r="C37" s="31"/>
      <c r="D37" s="31"/>
      <c r="E37" s="31"/>
      <c r="F37" s="31"/>
      <c r="G37" s="31"/>
      <c r="H37" s="31"/>
      <c r="I37" s="31"/>
      <c r="J37" s="31"/>
      <c r="K37" s="31"/>
      <c r="L37" s="31">
        <v>247.819</v>
      </c>
      <c r="M37" s="31">
        <v>349.342</v>
      </c>
      <c r="N37" s="32">
        <v>283.413</v>
      </c>
      <c r="O37" s="29">
        <f t="shared" si="6"/>
        <v>880.574</v>
      </c>
      <c r="P37" s="46"/>
      <c r="Q37" s="316"/>
    </row>
    <row r="38" spans="1:18" ht="17.25" customHeight="1" thickBot="1">
      <c r="A38" s="276"/>
      <c r="B38" s="267" t="s">
        <v>41</v>
      </c>
      <c r="C38" s="45"/>
      <c r="D38" s="45"/>
      <c r="E38" s="45"/>
      <c r="F38" s="45"/>
      <c r="G38" s="45"/>
      <c r="H38" s="45"/>
      <c r="I38" s="45"/>
      <c r="J38" s="45"/>
      <c r="K38" s="45"/>
      <c r="L38" s="45">
        <v>18502.14</v>
      </c>
      <c r="M38" s="31">
        <v>26081.89</v>
      </c>
      <c r="N38" s="71">
        <v>21159.62</v>
      </c>
      <c r="O38" s="119">
        <f t="shared" si="6"/>
        <v>65743.65</v>
      </c>
      <c r="P38" s="46"/>
      <c r="Q38" s="316">
        <f>(I38+J38+K38+L38+M38+N38)/(I37+J37+K37+L37+M37+N37)</f>
        <v>74.65999450358515</v>
      </c>
      <c r="R38">
        <f>O38/O37</f>
        <v>74.65999450358515</v>
      </c>
    </row>
    <row r="39" spans="1:17" ht="13.5" thickBot="1">
      <c r="A39" s="273" t="s">
        <v>22</v>
      </c>
      <c r="B39" s="17" t="s">
        <v>44</v>
      </c>
      <c r="C39" s="31">
        <v>16129.76</v>
      </c>
      <c r="D39" s="31">
        <v>14771.31</v>
      </c>
      <c r="E39" s="31">
        <v>14892.97</v>
      </c>
      <c r="F39" s="31">
        <v>13905.05</v>
      </c>
      <c r="G39" s="31">
        <v>10076.785</v>
      </c>
      <c r="H39" s="31">
        <v>9048.345</v>
      </c>
      <c r="I39" s="81">
        <v>2822.281</v>
      </c>
      <c r="J39" s="31">
        <v>6269.315</v>
      </c>
      <c r="K39" s="31">
        <v>8217.963</v>
      </c>
      <c r="L39" s="31">
        <v>13775.377</v>
      </c>
      <c r="M39" s="31">
        <v>14485.56</v>
      </c>
      <c r="N39" s="32">
        <v>14002.37</v>
      </c>
      <c r="O39" s="29">
        <f t="shared" si="6"/>
        <v>138397.086</v>
      </c>
      <c r="P39" s="46"/>
      <c r="Q39" s="316"/>
    </row>
    <row r="40" spans="1:18" s="20" customFormat="1" ht="13.5" thickBot="1">
      <c r="A40" s="274"/>
      <c r="B40" s="267" t="s">
        <v>41</v>
      </c>
      <c r="C40" s="45">
        <v>1075209.63</v>
      </c>
      <c r="D40" s="45">
        <v>984655.53</v>
      </c>
      <c r="E40" s="45">
        <v>992765.36</v>
      </c>
      <c r="F40" s="45">
        <v>926910.86</v>
      </c>
      <c r="G40" s="45">
        <v>671718.52</v>
      </c>
      <c r="H40" s="45">
        <v>603162.66</v>
      </c>
      <c r="I40" s="45">
        <v>210711.51</v>
      </c>
      <c r="J40" s="45">
        <v>468067.07</v>
      </c>
      <c r="K40" s="45">
        <v>613553.1</v>
      </c>
      <c r="L40" s="45">
        <v>1028469.62</v>
      </c>
      <c r="M40" s="45">
        <v>1081491.92</v>
      </c>
      <c r="N40" s="71">
        <v>1045416.93</v>
      </c>
      <c r="O40" s="29">
        <f t="shared" si="6"/>
        <v>9702132.71</v>
      </c>
      <c r="P40" s="46">
        <f>(C40+D40+E40+F40+G40+H40)/(C39+D39+E39+F39+G39+H39)</f>
        <v>66.66000069521779</v>
      </c>
      <c r="Q40" s="316">
        <f>(I40+J40+K40+L40+M40+N40)/(I39+J39+K39+L39+M39+N39)</f>
        <v>74.65999957094562</v>
      </c>
      <c r="R40">
        <f>O40/O39</f>
        <v>70.10359098167717</v>
      </c>
    </row>
    <row r="41" spans="1:17" ht="13.5" thickBot="1">
      <c r="A41" s="273" t="s">
        <v>23</v>
      </c>
      <c r="B41" s="17" t="s">
        <v>44</v>
      </c>
      <c r="C41" s="31">
        <v>515.23</v>
      </c>
      <c r="D41" s="31">
        <v>533.34</v>
      </c>
      <c r="E41" s="31">
        <v>455.66</v>
      </c>
      <c r="F41" s="31">
        <v>492.35</v>
      </c>
      <c r="G41" s="31">
        <v>535.681</v>
      </c>
      <c r="H41" s="31">
        <v>516.166</v>
      </c>
      <c r="I41" s="31">
        <v>469.292</v>
      </c>
      <c r="J41" s="31">
        <v>499.273</v>
      </c>
      <c r="K41" s="31">
        <v>494.078</v>
      </c>
      <c r="L41" s="31">
        <v>469.054</v>
      </c>
      <c r="M41" s="31">
        <v>348.161</v>
      </c>
      <c r="N41" s="32">
        <v>464.497</v>
      </c>
      <c r="O41" s="29">
        <f t="shared" si="6"/>
        <v>5792.782000000001</v>
      </c>
      <c r="P41" s="46"/>
      <c r="Q41" s="316"/>
    </row>
    <row r="42" spans="1:18" ht="13.5" thickBot="1">
      <c r="A42" s="274"/>
      <c r="B42" s="267" t="s">
        <v>41</v>
      </c>
      <c r="C42" s="45">
        <v>34345.05</v>
      </c>
      <c r="D42" s="45">
        <v>35552.71</v>
      </c>
      <c r="E42" s="45">
        <v>30374.62</v>
      </c>
      <c r="F42" s="45">
        <v>32819.95</v>
      </c>
      <c r="G42" s="45">
        <v>35708.5</v>
      </c>
      <c r="H42" s="45">
        <v>34407.65</v>
      </c>
      <c r="I42" s="45">
        <v>35037.32</v>
      </c>
      <c r="J42" s="45">
        <v>37275.69</v>
      </c>
      <c r="K42" s="45">
        <v>36887.83</v>
      </c>
      <c r="L42" s="45">
        <v>35019.59</v>
      </c>
      <c r="M42" s="45">
        <v>25993.69</v>
      </c>
      <c r="N42" s="71">
        <v>34679.36</v>
      </c>
      <c r="O42" s="29">
        <f t="shared" si="6"/>
        <v>408101.96</v>
      </c>
      <c r="P42" s="46">
        <f>(C42+D42+E42+F42+G42+H42)/(C41+D41+E41+F41+G41+H41)</f>
        <v>66.66011027982627</v>
      </c>
      <c r="Q42" s="316">
        <f>(I42+J42+K42+L42+M42+N42)/(I41+J41+K41+L41+M41+N41)</f>
        <v>74.65997657008658</v>
      </c>
      <c r="R42">
        <f>O42/O41</f>
        <v>70.45008080746004</v>
      </c>
    </row>
    <row r="43" spans="1:17" ht="13.5" thickBot="1">
      <c r="A43" s="273" t="s">
        <v>48</v>
      </c>
      <c r="B43" s="17" t="s">
        <v>44</v>
      </c>
      <c r="C43" s="31">
        <v>10598.88</v>
      </c>
      <c r="D43" s="31">
        <v>10501.64</v>
      </c>
      <c r="E43" s="31">
        <v>10323.78</v>
      </c>
      <c r="F43" s="31">
        <v>10752.23</v>
      </c>
      <c r="G43" s="31">
        <v>8352.594</v>
      </c>
      <c r="H43" s="31">
        <v>5082.015</v>
      </c>
      <c r="I43" s="31">
        <v>9536.086</v>
      </c>
      <c r="J43" s="31">
        <v>9735.842</v>
      </c>
      <c r="K43" s="31">
        <v>9477.641</v>
      </c>
      <c r="L43" s="31">
        <v>10198.005</v>
      </c>
      <c r="M43" s="31">
        <v>10230.721</v>
      </c>
      <c r="N43" s="32">
        <v>10081.024</v>
      </c>
      <c r="O43" s="29">
        <f t="shared" si="6"/>
        <v>114870.45800000001</v>
      </c>
      <c r="P43" s="46"/>
      <c r="Q43" s="316"/>
    </row>
    <row r="44" spans="1:18" s="20" customFormat="1" ht="19.5" customHeight="1" thickBot="1">
      <c r="A44" s="274"/>
      <c r="B44" s="267" t="s">
        <v>41</v>
      </c>
      <c r="C44" s="73">
        <v>706521.58</v>
      </c>
      <c r="D44" s="73">
        <v>700039.48</v>
      </c>
      <c r="E44" s="73">
        <v>688183.44</v>
      </c>
      <c r="F44" s="73">
        <v>716743.58</v>
      </c>
      <c r="G44" s="73">
        <v>556783.91</v>
      </c>
      <c r="H44" s="45">
        <v>338767.14</v>
      </c>
      <c r="I44" s="73">
        <v>711964.15</v>
      </c>
      <c r="J44" s="73">
        <v>726877.98</v>
      </c>
      <c r="K44" s="73">
        <v>707600.65</v>
      </c>
      <c r="L44" s="73">
        <v>761383.02</v>
      </c>
      <c r="M44" s="73">
        <v>763825.6</v>
      </c>
      <c r="N44" s="74">
        <v>752649.25</v>
      </c>
      <c r="O44" s="119">
        <f t="shared" si="6"/>
        <v>8131339.779999999</v>
      </c>
      <c r="P44" s="46">
        <f>(C44+D44+E44+F44+G44+H44)/(C43+D43+E43+F43+G43+H43)</f>
        <v>66.66001086580874</v>
      </c>
      <c r="Q44" s="316">
        <f>(I44+J44+K44+L44+M44+N44)/(I43+J43+K43+L43+M43+N43)</f>
        <v>74.65999820213932</v>
      </c>
      <c r="R44">
        <f>O44/O43</f>
        <v>70.78704065060835</v>
      </c>
    </row>
    <row r="45" spans="1:17" ht="13.5" thickBot="1">
      <c r="A45" s="273" t="s">
        <v>47</v>
      </c>
      <c r="B45" s="17" t="s">
        <v>44</v>
      </c>
      <c r="C45" s="31">
        <v>472.3</v>
      </c>
      <c r="D45" s="31">
        <v>478.97</v>
      </c>
      <c r="E45" s="31">
        <v>460.43</v>
      </c>
      <c r="F45" s="63">
        <v>317.96</v>
      </c>
      <c r="G45" s="31">
        <v>470.784</v>
      </c>
      <c r="H45" s="31">
        <v>467.28</v>
      </c>
      <c r="I45" s="31">
        <v>459.584</v>
      </c>
      <c r="J45" s="31">
        <v>459.516</v>
      </c>
      <c r="K45" s="31">
        <v>455.836</v>
      </c>
      <c r="L45" s="31">
        <v>554.801</v>
      </c>
      <c r="M45" s="31">
        <v>434.177</v>
      </c>
      <c r="N45" s="32">
        <v>470.796</v>
      </c>
      <c r="O45" s="29">
        <f t="shared" si="6"/>
        <v>5502.434</v>
      </c>
      <c r="P45" s="46"/>
      <c r="Q45" s="316"/>
    </row>
    <row r="46" spans="1:18" ht="18.75" customHeight="1" thickBot="1">
      <c r="A46" s="274"/>
      <c r="B46" s="267" t="s">
        <v>41</v>
      </c>
      <c r="C46" s="44">
        <v>31483.22</v>
      </c>
      <c r="D46" s="44">
        <v>31928.47</v>
      </c>
      <c r="E46" s="44">
        <v>30692.25</v>
      </c>
      <c r="F46" s="44">
        <v>21195.13</v>
      </c>
      <c r="G46" s="44">
        <v>31382.48</v>
      </c>
      <c r="H46" s="44">
        <v>31148.88</v>
      </c>
      <c r="I46" s="44">
        <v>34312.53</v>
      </c>
      <c r="J46" s="44">
        <v>34307.45</v>
      </c>
      <c r="K46" s="44">
        <v>34032.71</v>
      </c>
      <c r="L46" s="44">
        <v>41421.41</v>
      </c>
      <c r="M46" s="44">
        <v>32415.66</v>
      </c>
      <c r="N46" s="70">
        <v>35149.6</v>
      </c>
      <c r="O46" s="119">
        <f t="shared" si="6"/>
        <v>389469.79</v>
      </c>
      <c r="P46" s="46">
        <f>(C46+D46+E46+F46+G46+H46)/(C45+D45+E45+F45+G45+H45)</f>
        <v>66.6599805677049</v>
      </c>
      <c r="Q46" s="316">
        <f>(I46+J46+K46+L46+M46+N46)/(I45+J45+K45+L45+M45+N45)</f>
        <v>74.65996874459822</v>
      </c>
      <c r="R46">
        <f>O46/O45</f>
        <v>70.78136511950892</v>
      </c>
    </row>
    <row r="47" spans="1:17" ht="13.5" thickBot="1">
      <c r="A47" s="275" t="s">
        <v>49</v>
      </c>
      <c r="B47" s="17" t="s">
        <v>44</v>
      </c>
      <c r="C47" s="75"/>
      <c r="D47" s="75"/>
      <c r="E47" s="75"/>
      <c r="F47" s="75"/>
      <c r="G47" s="116"/>
      <c r="H47" s="75"/>
      <c r="I47" s="75"/>
      <c r="J47" s="75"/>
      <c r="K47" s="75"/>
      <c r="L47" s="116">
        <v>158.3</v>
      </c>
      <c r="M47" s="116">
        <v>172.955</v>
      </c>
      <c r="N47" s="77">
        <v>162.2</v>
      </c>
      <c r="O47" s="38">
        <f t="shared" si="6"/>
        <v>493.455</v>
      </c>
      <c r="P47" s="46"/>
      <c r="Q47" s="316"/>
    </row>
    <row r="48" spans="1:19" ht="20.25" customHeight="1" thickBot="1">
      <c r="A48" s="276"/>
      <c r="B48" s="296" t="s">
        <v>41</v>
      </c>
      <c r="C48" s="43"/>
      <c r="D48" s="43"/>
      <c r="E48" s="43"/>
      <c r="F48" s="43"/>
      <c r="G48" s="43"/>
      <c r="H48" s="43"/>
      <c r="I48" s="43"/>
      <c r="J48" s="43"/>
      <c r="K48" s="43"/>
      <c r="L48" s="43">
        <v>11818.66</v>
      </c>
      <c r="M48" s="78">
        <v>12912.79</v>
      </c>
      <c r="N48" s="80">
        <v>12109.83</v>
      </c>
      <c r="O48" s="38">
        <f t="shared" si="6"/>
        <v>36841.28</v>
      </c>
      <c r="P48" s="222"/>
      <c r="Q48" s="321">
        <f>(I48+J48+K48+L48+M48+N48)/(I47+J47+K47+L47+M47+N47)</f>
        <v>74.65985753513492</v>
      </c>
      <c r="R48">
        <f>O48/O47</f>
        <v>74.65985753513492</v>
      </c>
      <c r="S48" s="20"/>
    </row>
    <row r="49" spans="1:17" ht="14.25" customHeight="1" thickBot="1">
      <c r="A49" s="289" t="s">
        <v>24</v>
      </c>
      <c r="B49" s="295" t="s">
        <v>44</v>
      </c>
      <c r="C49" s="6">
        <f>SUM(C51,C53,C55,C59,C61,C63,C65,C67,C69)</f>
        <v>78259.47</v>
      </c>
      <c r="D49" s="6">
        <f aca="true" t="shared" si="7" ref="D49:J49">SUM(D51,D53,D55,D59,D61,D63,D65,D67,D69)</f>
        <v>74943.05</v>
      </c>
      <c r="E49" s="6">
        <f t="shared" si="7"/>
        <v>74019.17</v>
      </c>
      <c r="F49" s="87">
        <f t="shared" si="7"/>
        <v>75148.54999999999</v>
      </c>
      <c r="G49" s="6">
        <f t="shared" si="7"/>
        <v>76166.56</v>
      </c>
      <c r="H49" s="6">
        <f t="shared" si="7"/>
        <v>76893.237</v>
      </c>
      <c r="I49" s="6">
        <f t="shared" si="7"/>
        <v>77544.12</v>
      </c>
      <c r="J49" s="6">
        <f t="shared" si="7"/>
        <v>77414.62200000002</v>
      </c>
      <c r="K49" s="6">
        <f aca="true" t="shared" si="8" ref="K49:M50">SUM(K51,K53,K55,K59,K61,K63,K65,K67,K69,K57)</f>
        <v>77790.07300000002</v>
      </c>
      <c r="L49" s="6">
        <f t="shared" si="8"/>
        <v>76148.20199999999</v>
      </c>
      <c r="M49" s="6">
        <f t="shared" si="8"/>
        <v>75046.85099999998</v>
      </c>
      <c r="N49" s="6">
        <f>SUM(N51,N53,N57,N59,N61,N63,N65,N67,N69)</f>
        <v>72707.78899999999</v>
      </c>
      <c r="O49" s="233">
        <f>C49+D49+E49+F49+G49+H49+I49+J49+K49+L49+M49+N49</f>
        <v>912081.694</v>
      </c>
      <c r="P49" s="232"/>
      <c r="Q49" s="314"/>
    </row>
    <row r="50" spans="1:18" ht="13.5" thickBot="1">
      <c r="A50" s="291"/>
      <c r="B50" s="295" t="s">
        <v>41</v>
      </c>
      <c r="C50" s="4">
        <f aca="true" t="shared" si="9" ref="C50:J50">SUM(C52,C54,C56,C60,C62,C64,C66,C68,C70)</f>
        <v>1375141.43</v>
      </c>
      <c r="D50" s="4">
        <f t="shared" si="9"/>
        <v>1316785.2300000002</v>
      </c>
      <c r="E50" s="4">
        <f t="shared" si="9"/>
        <v>1300610.17</v>
      </c>
      <c r="F50" s="88">
        <f t="shared" si="9"/>
        <v>1320476.7599999998</v>
      </c>
      <c r="G50" s="4">
        <f t="shared" si="9"/>
        <v>1338419.64</v>
      </c>
      <c r="H50" s="4">
        <f t="shared" si="9"/>
        <v>1351160.6000000003</v>
      </c>
      <c r="I50" s="4">
        <f t="shared" si="9"/>
        <v>1522577.88</v>
      </c>
      <c r="J50" s="4">
        <f t="shared" si="9"/>
        <v>1519985.3100000003</v>
      </c>
      <c r="K50" s="4">
        <f t="shared" si="8"/>
        <v>1527430.7700000003</v>
      </c>
      <c r="L50" s="4">
        <f t="shared" si="8"/>
        <v>1495028.75</v>
      </c>
      <c r="M50" s="4">
        <f t="shared" si="8"/>
        <v>1484210.53</v>
      </c>
      <c r="N50" s="4">
        <f>SUM(N52,N54,N58,N60,N62,N64,N66,N68,N70)</f>
        <v>1430604.2100000002</v>
      </c>
      <c r="O50" s="93">
        <f>C50+D50+E50+F50+G50+H50+I50+J50+K50+L50+M50+N50</f>
        <v>16982431.28</v>
      </c>
      <c r="P50" s="208"/>
      <c r="Q50" s="316"/>
      <c r="R50">
        <f>O50/O49</f>
        <v>18.619419062696373</v>
      </c>
    </row>
    <row r="51" spans="1:19" ht="16.5" customHeight="1" thickBot="1">
      <c r="A51" s="317" t="s">
        <v>33</v>
      </c>
      <c r="B51" s="17" t="s">
        <v>44</v>
      </c>
      <c r="C51" s="117">
        <v>153.33</v>
      </c>
      <c r="D51" s="117">
        <v>151.11</v>
      </c>
      <c r="E51" s="117">
        <v>151.11</v>
      </c>
      <c r="F51" s="116">
        <v>151.11</v>
      </c>
      <c r="G51" s="117">
        <v>151.105</v>
      </c>
      <c r="H51" s="117">
        <v>151.105</v>
      </c>
      <c r="I51" s="117">
        <v>151.101</v>
      </c>
      <c r="J51" s="117">
        <v>151.101</v>
      </c>
      <c r="K51" s="117">
        <v>102.607</v>
      </c>
      <c r="L51" s="117">
        <v>151.101</v>
      </c>
      <c r="M51" s="117">
        <v>151.101</v>
      </c>
      <c r="N51" s="255">
        <v>151.101</v>
      </c>
      <c r="O51" s="308">
        <f aca="true" t="shared" si="10" ref="O51:O70">C51+D51+E51+F51+G51+H51+I51+J51+K51+L51+M51+N51</f>
        <v>1766.9820000000004</v>
      </c>
      <c r="P51" s="234"/>
      <c r="Q51" s="316"/>
      <c r="S51" s="50">
        <f>O52+O54+O56+O58+O60+O62+O64+O66+O68+O70</f>
        <v>16982431.279999997</v>
      </c>
    </row>
    <row r="52" spans="1:18" ht="13.5" thickBot="1">
      <c r="A52" s="318"/>
      <c r="B52" s="267" t="s">
        <v>41</v>
      </c>
      <c r="C52" s="8">
        <v>2690.96</v>
      </c>
      <c r="D52" s="8">
        <v>2651.9</v>
      </c>
      <c r="E52" s="8">
        <v>2651.9</v>
      </c>
      <c r="F52" s="75">
        <v>2651.9</v>
      </c>
      <c r="G52" s="8">
        <v>2651.9</v>
      </c>
      <c r="H52" s="8">
        <v>2651.9</v>
      </c>
      <c r="I52" s="8">
        <v>2970.64</v>
      </c>
      <c r="J52" s="8">
        <v>2970.64</v>
      </c>
      <c r="K52" s="8">
        <v>2017.26</v>
      </c>
      <c r="L52" s="8">
        <v>2970.64</v>
      </c>
      <c r="M52" s="8">
        <v>2970.64</v>
      </c>
      <c r="N52" s="11">
        <v>2970.64</v>
      </c>
      <c r="O52" s="309">
        <f t="shared" si="10"/>
        <v>32820.92</v>
      </c>
      <c r="P52" s="208">
        <f>(C52+D52+E52+F52+G52+H52)/(C51+D51+E51+F51+G51+H51)</f>
        <v>17.5497705942544</v>
      </c>
      <c r="Q52" s="316">
        <f>(I52+J52+K52+L52+M52+N52)/(I51+J51+K51+L51+M51+N51)</f>
        <v>19.659974455548927</v>
      </c>
      <c r="R52">
        <f>O52/O51</f>
        <v>18.574563860865585</v>
      </c>
    </row>
    <row r="53" spans="1:17" ht="13.5" thickBot="1">
      <c r="A53" s="319" t="s">
        <v>34</v>
      </c>
      <c r="B53" s="17" t="s">
        <v>44</v>
      </c>
      <c r="C53" s="114">
        <v>414.2</v>
      </c>
      <c r="D53" s="114">
        <v>401</v>
      </c>
      <c r="E53" s="114">
        <v>408.05</v>
      </c>
      <c r="F53" s="118">
        <v>406.59</v>
      </c>
      <c r="G53" s="114">
        <v>415.403</v>
      </c>
      <c r="H53" s="114">
        <v>380.598</v>
      </c>
      <c r="I53" s="114">
        <v>397.225</v>
      </c>
      <c r="J53" s="114">
        <v>414.776</v>
      </c>
      <c r="K53" s="114">
        <v>433.41</v>
      </c>
      <c r="L53" s="114">
        <v>373.047</v>
      </c>
      <c r="M53" s="114">
        <v>395.098</v>
      </c>
      <c r="N53" s="254">
        <v>412.336</v>
      </c>
      <c r="O53" s="29">
        <f t="shared" si="10"/>
        <v>4851.733</v>
      </c>
      <c r="P53" s="46"/>
      <c r="Q53" s="316"/>
    </row>
    <row r="54" spans="1:18" ht="13.5" thickBot="1">
      <c r="A54" s="318"/>
      <c r="B54" s="267" t="s">
        <v>41</v>
      </c>
      <c r="C54" s="9">
        <v>7331.34</v>
      </c>
      <c r="D54" s="9">
        <v>7097.7</v>
      </c>
      <c r="E54" s="9">
        <v>7222.47</v>
      </c>
      <c r="F54" s="43">
        <v>7196.56</v>
      </c>
      <c r="G54" s="9">
        <v>7352.64</v>
      </c>
      <c r="H54" s="9">
        <v>6736.58</v>
      </c>
      <c r="I54" s="9">
        <v>7872.99</v>
      </c>
      <c r="J54" s="9">
        <v>8220.86</v>
      </c>
      <c r="K54" s="9">
        <v>8590.18</v>
      </c>
      <c r="L54" s="9">
        <v>7393.79</v>
      </c>
      <c r="M54" s="9">
        <v>7830.84</v>
      </c>
      <c r="N54" s="12">
        <v>8172.49</v>
      </c>
      <c r="O54" s="29">
        <f t="shared" si="10"/>
        <v>91018.44</v>
      </c>
      <c r="P54" s="46">
        <f>(C54+D54+E54+F54+G54+H54)/(C53+D53+E53+F53+G53+H53)</f>
        <v>17.699960549763983</v>
      </c>
      <c r="Q54" s="316">
        <f>(I54+J54+K54+L54+M54+N54)/(I53+J53+K53+L53+M53+N53)</f>
        <v>19.81998786425777</v>
      </c>
      <c r="R54">
        <f>O54/O53</f>
        <v>18.759985349564783</v>
      </c>
    </row>
    <row r="55" spans="1:19" ht="13.5" thickBot="1">
      <c r="A55" s="273" t="s">
        <v>45</v>
      </c>
      <c r="B55" s="17" t="s">
        <v>44</v>
      </c>
      <c r="C55" s="114">
        <v>8295.1</v>
      </c>
      <c r="D55" s="114">
        <v>8360.39</v>
      </c>
      <c r="E55" s="114">
        <v>7908.5</v>
      </c>
      <c r="F55" s="118">
        <v>8218.07</v>
      </c>
      <c r="G55" s="114">
        <v>7867.489</v>
      </c>
      <c r="H55" s="114">
        <v>7991.162</v>
      </c>
      <c r="I55" s="114">
        <v>8093.895</v>
      </c>
      <c r="J55" s="114">
        <v>8174.281</v>
      </c>
      <c r="K55" s="114"/>
      <c r="L55" s="114"/>
      <c r="M55" s="9"/>
      <c r="N55" s="12"/>
      <c r="O55" s="29">
        <f t="shared" si="10"/>
        <v>64908.887</v>
      </c>
      <c r="P55" s="46"/>
      <c r="Q55" s="316"/>
      <c r="R55" s="200"/>
      <c r="S55" s="200"/>
    </row>
    <row r="56" spans="1:21" ht="21.75" customHeight="1" thickBot="1">
      <c r="A56" s="274"/>
      <c r="B56" s="267" t="s">
        <v>41</v>
      </c>
      <c r="C56" s="9">
        <v>145579.09</v>
      </c>
      <c r="D56" s="9">
        <v>146724.79</v>
      </c>
      <c r="E56" s="9">
        <v>138794.23</v>
      </c>
      <c r="F56" s="43">
        <v>144227.14</v>
      </c>
      <c r="G56" s="9">
        <v>138074.44</v>
      </c>
      <c r="H56" s="9">
        <v>140244.89</v>
      </c>
      <c r="I56" s="9">
        <v>155564.66</v>
      </c>
      <c r="J56" s="9">
        <v>157109.68</v>
      </c>
      <c r="K56" s="9"/>
      <c r="L56" s="9"/>
      <c r="M56" s="9"/>
      <c r="N56" s="12"/>
      <c r="O56" s="29">
        <f t="shared" si="10"/>
        <v>1166318.92</v>
      </c>
      <c r="P56" s="46">
        <f>(C56+D56+E56+F56+G56+H56)/(C55+D55+E55+F55+G55+H55)</f>
        <v>17.550002095980876</v>
      </c>
      <c r="Q56" s="316">
        <f>(I56+J56+K56+L56+M56+N56)/(I55+J55+K55+L55+M55+N55)</f>
        <v>19.219999832802397</v>
      </c>
      <c r="R56">
        <f>O56/O55</f>
        <v>17.968555214943063</v>
      </c>
      <c r="S56" s="203"/>
      <c r="U56" s="250"/>
    </row>
    <row r="57" spans="1:21" ht="15" customHeight="1" thickBot="1">
      <c r="A57" s="275" t="s">
        <v>46</v>
      </c>
      <c r="B57" s="17" t="s">
        <v>44</v>
      </c>
      <c r="C57" s="31"/>
      <c r="D57" s="31"/>
      <c r="E57" s="31"/>
      <c r="F57" s="31"/>
      <c r="G57" s="31"/>
      <c r="H57" s="31"/>
      <c r="I57" s="31"/>
      <c r="J57" s="31"/>
      <c r="K57" s="31">
        <v>8351.55</v>
      </c>
      <c r="L57" s="114">
        <v>7748.448</v>
      </c>
      <c r="M57" s="187">
        <f>8374.036-374.483</f>
        <v>7999.553</v>
      </c>
      <c r="N57" s="32">
        <v>7954.116</v>
      </c>
      <c r="O57" s="29">
        <f t="shared" si="10"/>
        <v>32053.667</v>
      </c>
      <c r="P57" s="46"/>
      <c r="Q57" s="316"/>
      <c r="R57" s="200">
        <v>8164.639</v>
      </c>
      <c r="S57" s="200">
        <v>7575.035</v>
      </c>
      <c r="U57" s="250"/>
    </row>
    <row r="58" spans="1:19" ht="18" customHeight="1" thickBot="1">
      <c r="A58" s="276"/>
      <c r="B58" s="267" t="s">
        <v>41</v>
      </c>
      <c r="C58" s="45"/>
      <c r="D58" s="45"/>
      <c r="E58" s="45"/>
      <c r="F58" s="45"/>
      <c r="G58" s="45"/>
      <c r="H58" s="45"/>
      <c r="I58" s="45"/>
      <c r="J58" s="45"/>
      <c r="K58" s="45">
        <v>160516.8</v>
      </c>
      <c r="L58" s="9">
        <v>148925.18</v>
      </c>
      <c r="M58" s="187">
        <v>164633.55</v>
      </c>
      <c r="N58" s="71">
        <v>156377.93</v>
      </c>
      <c r="O58" s="119">
        <f t="shared" si="10"/>
        <v>630453.46</v>
      </c>
      <c r="P58" s="46"/>
      <c r="Q58" s="316">
        <v>19.66</v>
      </c>
      <c r="R58" s="203">
        <f>K57-R57</f>
        <v>186.91099999999915</v>
      </c>
      <c r="S58" s="203">
        <f>L57-S57</f>
        <v>173.41300000000047</v>
      </c>
    </row>
    <row r="59" spans="1:17" ht="13.5" thickBot="1">
      <c r="A59" s="273" t="s">
        <v>3</v>
      </c>
      <c r="B59" s="17" t="s">
        <v>44</v>
      </c>
      <c r="C59" s="114">
        <v>128.9</v>
      </c>
      <c r="D59" s="114">
        <v>129.65</v>
      </c>
      <c r="E59" s="114">
        <v>130.4</v>
      </c>
      <c r="F59" s="118">
        <v>129.25</v>
      </c>
      <c r="G59" s="114">
        <v>128.9</v>
      </c>
      <c r="H59" s="114">
        <v>130.25</v>
      </c>
      <c r="I59" s="114">
        <v>131.562</v>
      </c>
      <c r="J59" s="114">
        <v>131.9</v>
      </c>
      <c r="K59" s="114">
        <v>131.9</v>
      </c>
      <c r="L59" s="114">
        <v>131.9</v>
      </c>
      <c r="M59" s="114">
        <v>124.3</v>
      </c>
      <c r="N59" s="254">
        <v>122.9</v>
      </c>
      <c r="O59" s="29">
        <f t="shared" si="10"/>
        <v>1551.8120000000004</v>
      </c>
      <c r="P59" s="46"/>
      <c r="Q59" s="316"/>
    </row>
    <row r="60" spans="1:18" ht="13.5" thickBot="1">
      <c r="A60" s="274"/>
      <c r="B60" s="267" t="s">
        <v>41</v>
      </c>
      <c r="C60" s="9">
        <v>2281.53</v>
      </c>
      <c r="D60" s="9">
        <v>2294.8</v>
      </c>
      <c r="E60" s="9">
        <v>2308.08</v>
      </c>
      <c r="F60" s="43">
        <v>2287.73</v>
      </c>
      <c r="G60" s="9">
        <v>2281.53</v>
      </c>
      <c r="H60" s="9">
        <v>2305.43</v>
      </c>
      <c r="I60" s="9">
        <v>2607.55</v>
      </c>
      <c r="J60" s="9">
        <v>2614.26</v>
      </c>
      <c r="K60" s="9">
        <v>2614.26</v>
      </c>
      <c r="L60" s="9">
        <v>2614.26</v>
      </c>
      <c r="M60" s="9">
        <v>2463.63</v>
      </c>
      <c r="N60" s="12">
        <v>2435.88</v>
      </c>
      <c r="O60" s="29">
        <f t="shared" si="10"/>
        <v>29108.94000000001</v>
      </c>
      <c r="P60" s="46">
        <f>(C60+D60+E60+F60+G60+H60)/(C59+D59+E59+F59+G59+H59)</f>
        <v>17.700006432109088</v>
      </c>
      <c r="Q60" s="316">
        <f>(I60+J60+K60+L60+M60+N60)/(I59+J59+K59+L59+M59+N59)</f>
        <v>19.82000408025185</v>
      </c>
      <c r="R60">
        <f>O60/O59</f>
        <v>18.758032545179443</v>
      </c>
    </row>
    <row r="61" spans="1:17" ht="13.5" thickBot="1">
      <c r="A61" s="273" t="s">
        <v>22</v>
      </c>
      <c r="B61" s="17" t="s">
        <v>44</v>
      </c>
      <c r="C61" s="114">
        <v>44701.2</v>
      </c>
      <c r="D61" s="114">
        <v>42074.09</v>
      </c>
      <c r="E61" s="114">
        <v>42038.21</v>
      </c>
      <c r="F61" s="118">
        <v>42571.77</v>
      </c>
      <c r="G61" s="114">
        <v>44206.968</v>
      </c>
      <c r="H61" s="114">
        <f>44658.431+425.22</f>
        <v>45083.651</v>
      </c>
      <c r="I61" s="114">
        <v>45856.288</v>
      </c>
      <c r="J61" s="114">
        <v>45241.766</v>
      </c>
      <c r="K61" s="114">
        <v>45262.643</v>
      </c>
      <c r="L61" s="114">
        <v>44129.643</v>
      </c>
      <c r="M61" s="114">
        <v>42318.647</v>
      </c>
      <c r="N61" s="254">
        <v>40714.714</v>
      </c>
      <c r="O61" s="29">
        <f t="shared" si="10"/>
        <v>524199.5899999999</v>
      </c>
      <c r="P61" s="46"/>
      <c r="Q61" s="316"/>
    </row>
    <row r="62" spans="1:18" ht="13.5" thickBot="1">
      <c r="A62" s="274"/>
      <c r="B62" s="267" t="s">
        <v>41</v>
      </c>
      <c r="C62" s="9">
        <v>786224.36</v>
      </c>
      <c r="D62" s="9">
        <v>739970.71</v>
      </c>
      <c r="E62" s="9">
        <v>739375.75</v>
      </c>
      <c r="F62" s="43">
        <v>748779.87</v>
      </c>
      <c r="G62" s="9">
        <v>777557.95</v>
      </c>
      <c r="H62" s="9">
        <f>785467.75+7462.62</f>
        <v>792930.37</v>
      </c>
      <c r="I62" s="9">
        <v>903199.22</v>
      </c>
      <c r="J62" s="9">
        <v>891098.59</v>
      </c>
      <c r="K62" s="9">
        <v>891655.77</v>
      </c>
      <c r="L62" s="9">
        <v>869233.18</v>
      </c>
      <c r="M62" s="9">
        <v>833636.85</v>
      </c>
      <c r="N62" s="12">
        <v>801817.18</v>
      </c>
      <c r="O62" s="29">
        <f t="shared" si="10"/>
        <v>9775479.799999999</v>
      </c>
      <c r="P62" s="46">
        <f>(C62+D62+E62+F62+G62+H62)/(C61+D61+E61+F61+G61+H61)</f>
        <v>17.588274188258357</v>
      </c>
      <c r="Q62" s="316">
        <f>(I62+J62+K62+L62+M62+N62)/(I61+J61+K61+L61+M61+N61)</f>
        <v>19.697054839101554</v>
      </c>
      <c r="R62">
        <f>O62/O61</f>
        <v>18.648392685694393</v>
      </c>
    </row>
    <row r="63" spans="1:17" ht="46.5" customHeight="1" thickBot="1">
      <c r="A63" s="273" t="s">
        <v>55</v>
      </c>
      <c r="B63" s="17" t="s">
        <v>44</v>
      </c>
      <c r="C63" s="114">
        <v>22243.65</v>
      </c>
      <c r="D63" s="114">
        <v>21382.93</v>
      </c>
      <c r="E63" s="114">
        <v>20928.24</v>
      </c>
      <c r="F63" s="118">
        <v>21419.48</v>
      </c>
      <c r="G63" s="114">
        <v>21088.109</v>
      </c>
      <c r="H63" s="118">
        <f>21334.978-425.22</f>
        <v>20909.757999999998</v>
      </c>
      <c r="I63" s="114">
        <v>20734.85</v>
      </c>
      <c r="J63" s="114">
        <v>21159.061</v>
      </c>
      <c r="K63" s="114">
        <v>21381.932</v>
      </c>
      <c r="L63" s="114">
        <v>21339.778</v>
      </c>
      <c r="M63" s="114">
        <v>22064.349</v>
      </c>
      <c r="N63" s="254">
        <v>21353.869</v>
      </c>
      <c r="O63" s="29">
        <f t="shared" si="10"/>
        <v>256006.00599999996</v>
      </c>
      <c r="P63" s="46"/>
      <c r="Q63" s="316"/>
    </row>
    <row r="64" spans="1:18" ht="13.5" thickBot="1">
      <c r="A64" s="274"/>
      <c r="B64" s="267" t="s">
        <v>41</v>
      </c>
      <c r="C64" s="9">
        <v>390376.09</v>
      </c>
      <c r="D64" s="9">
        <v>375270.5</v>
      </c>
      <c r="E64" s="9">
        <v>367290.59</v>
      </c>
      <c r="F64" s="43">
        <v>375911.94</v>
      </c>
      <c r="G64" s="9">
        <v>370096.32</v>
      </c>
      <c r="H64" s="43">
        <f>374428.86-7462.62</f>
        <v>366966.24</v>
      </c>
      <c r="I64" s="9">
        <v>407647.16</v>
      </c>
      <c r="J64" s="9">
        <v>415987.13</v>
      </c>
      <c r="K64" s="9">
        <v>420368.78</v>
      </c>
      <c r="L64" s="9">
        <v>419359.84</v>
      </c>
      <c r="M64" s="9">
        <v>433599.31</v>
      </c>
      <c r="N64" s="12">
        <v>419666.58</v>
      </c>
      <c r="O64" s="29">
        <f t="shared" si="10"/>
        <v>4762540.4799999995</v>
      </c>
      <c r="P64" s="46">
        <f>(C64+D64+E64+F64+G64+H64)/(C63+D63+E63+F63+G63+H63)</f>
        <v>17.550001165487807</v>
      </c>
      <c r="Q64" s="316">
        <f>(I64+J64+K64+L64+M64+N64)/(I63+J63+K63+L63+M63+N63)</f>
        <v>19.65596610752256</v>
      </c>
      <c r="R64">
        <f>O64/O63</f>
        <v>18.603237300612392</v>
      </c>
    </row>
    <row r="65" spans="1:17" ht="13.5" thickBot="1">
      <c r="A65" s="273" t="s">
        <v>23</v>
      </c>
      <c r="B65" s="17" t="s">
        <v>44</v>
      </c>
      <c r="C65" s="114">
        <v>804</v>
      </c>
      <c r="D65" s="114">
        <v>857</v>
      </c>
      <c r="E65" s="114">
        <v>942</v>
      </c>
      <c r="F65" s="118">
        <v>786</v>
      </c>
      <c r="G65" s="114">
        <v>839.995</v>
      </c>
      <c r="H65" s="118">
        <v>760.291</v>
      </c>
      <c r="I65" s="114">
        <v>677.997</v>
      </c>
      <c r="J65" s="114">
        <v>662.524</v>
      </c>
      <c r="K65" s="114">
        <v>682.827</v>
      </c>
      <c r="L65" s="114">
        <v>630.074</v>
      </c>
      <c r="M65" s="9">
        <v>667.34</v>
      </c>
      <c r="N65" s="254">
        <v>602.125</v>
      </c>
      <c r="O65" s="29">
        <f t="shared" si="10"/>
        <v>8912.173</v>
      </c>
      <c r="P65" s="46"/>
      <c r="Q65" s="316"/>
    </row>
    <row r="66" spans="1:18" ht="13.5" thickBot="1">
      <c r="A66" s="274"/>
      <c r="B66" s="267" t="s">
        <v>41</v>
      </c>
      <c r="C66" s="9">
        <v>14110.14</v>
      </c>
      <c r="D66" s="9">
        <v>15040.37</v>
      </c>
      <c r="E66" s="9">
        <v>16532.07</v>
      </c>
      <c r="F66" s="43">
        <v>13794.38</v>
      </c>
      <c r="G66" s="9">
        <v>14741.92</v>
      </c>
      <c r="H66" s="43">
        <v>13343.1</v>
      </c>
      <c r="I66" s="9">
        <v>13329.43</v>
      </c>
      <c r="J66" s="9">
        <v>13025.23</v>
      </c>
      <c r="K66" s="9">
        <v>13424.37</v>
      </c>
      <c r="L66" s="9">
        <v>12387.25</v>
      </c>
      <c r="M66" s="9">
        <v>13119.91</v>
      </c>
      <c r="N66" s="12">
        <v>11837.77</v>
      </c>
      <c r="O66" s="29">
        <f t="shared" si="10"/>
        <v>164685.94</v>
      </c>
      <c r="P66" s="46">
        <f>(C66+D66+E66+F66+G66+H66)/(C65+D65+E65+F65+G65+H65)</f>
        <v>17.550002144595442</v>
      </c>
      <c r="Q66" s="316">
        <f>(I66+J66+K66+L66+M66+N66)/(I65+J65+K65+L65+M65+N65)</f>
        <v>19.6600004027646</v>
      </c>
      <c r="R66">
        <f>O66/O65</f>
        <v>18.478763821124208</v>
      </c>
    </row>
    <row r="67" spans="1:17" ht="13.5" thickBot="1">
      <c r="A67" s="273" t="s">
        <v>51</v>
      </c>
      <c r="B67" s="17" t="s">
        <v>44</v>
      </c>
      <c r="C67" s="114">
        <v>578.83</v>
      </c>
      <c r="D67" s="114">
        <v>613.63</v>
      </c>
      <c r="E67" s="114">
        <v>574.33</v>
      </c>
      <c r="F67" s="118">
        <v>569.42</v>
      </c>
      <c r="G67" s="114">
        <v>547.257</v>
      </c>
      <c r="H67" s="114">
        <v>591.762</v>
      </c>
      <c r="I67" s="114">
        <v>580.908</v>
      </c>
      <c r="J67" s="114">
        <v>586.659</v>
      </c>
      <c r="K67" s="114">
        <v>524.089</v>
      </c>
      <c r="L67" s="114">
        <v>449.724</v>
      </c>
      <c r="M67" s="114">
        <v>468.302</v>
      </c>
      <c r="N67" s="254">
        <v>479.383</v>
      </c>
      <c r="O67" s="29">
        <f t="shared" si="10"/>
        <v>6564.294</v>
      </c>
      <c r="P67" s="46"/>
      <c r="Q67" s="316"/>
    </row>
    <row r="68" spans="1:18" ht="13.5" thickBot="1">
      <c r="A68" s="274"/>
      <c r="B68" s="267" t="s">
        <v>41</v>
      </c>
      <c r="C68" s="9">
        <v>10187.43</v>
      </c>
      <c r="D68" s="9">
        <v>10799.86</v>
      </c>
      <c r="E68" s="9">
        <v>10108.13</v>
      </c>
      <c r="F68" s="43">
        <v>10021.85</v>
      </c>
      <c r="G68" s="9">
        <v>9631.72</v>
      </c>
      <c r="H68" s="9">
        <v>10415.01</v>
      </c>
      <c r="I68" s="9">
        <v>11449.7</v>
      </c>
      <c r="J68" s="9">
        <v>11563.05</v>
      </c>
      <c r="K68" s="9">
        <v>10329.8</v>
      </c>
      <c r="L68" s="9">
        <v>8864.06</v>
      </c>
      <c r="M68" s="9">
        <v>9230.24</v>
      </c>
      <c r="N68" s="12">
        <v>9448.64</v>
      </c>
      <c r="O68" s="29">
        <f t="shared" si="10"/>
        <v>122049.49</v>
      </c>
      <c r="P68" s="46">
        <f>(C68+D68+E68+F68+G68+H68)/(C67+D67+E67+F67+G67+H67)</f>
        <v>17.599991252375023</v>
      </c>
      <c r="Q68" s="316">
        <f>(I68+J68+K68+L68+M68+N68)/(I67+J67+K67+L67+M67+N67)</f>
        <v>19.710006102170073</v>
      </c>
      <c r="R68">
        <f>O68/O67</f>
        <v>18.59293474667649</v>
      </c>
    </row>
    <row r="69" spans="1:17" ht="13.5" thickBot="1">
      <c r="A69" s="273" t="s">
        <v>31</v>
      </c>
      <c r="B69" s="17" t="s">
        <v>44</v>
      </c>
      <c r="C69" s="114">
        <v>940.26</v>
      </c>
      <c r="D69" s="114">
        <v>973.25</v>
      </c>
      <c r="E69" s="114">
        <v>938.33</v>
      </c>
      <c r="F69" s="118">
        <v>896.86</v>
      </c>
      <c r="G69" s="114">
        <v>921.334</v>
      </c>
      <c r="H69" s="114">
        <v>894.66</v>
      </c>
      <c r="I69" s="114">
        <v>920.294</v>
      </c>
      <c r="J69" s="114">
        <v>892.554</v>
      </c>
      <c r="K69" s="114">
        <v>919.115</v>
      </c>
      <c r="L69" s="114">
        <v>1194.487</v>
      </c>
      <c r="M69" s="114">
        <v>858.161</v>
      </c>
      <c r="N69" s="254">
        <v>917.245</v>
      </c>
      <c r="O69" s="29">
        <f t="shared" si="10"/>
        <v>11266.550000000001</v>
      </c>
      <c r="P69" s="46"/>
      <c r="Q69" s="316"/>
    </row>
    <row r="70" spans="1:18" ht="13.5" thickBot="1">
      <c r="A70" s="322"/>
      <c r="B70" s="296" t="s">
        <v>41</v>
      </c>
      <c r="C70" s="9">
        <v>16360.49</v>
      </c>
      <c r="D70" s="9">
        <v>16934.6</v>
      </c>
      <c r="E70" s="9">
        <v>16326.95</v>
      </c>
      <c r="F70" s="43">
        <v>15605.39</v>
      </c>
      <c r="G70" s="9">
        <v>16031.22</v>
      </c>
      <c r="H70" s="9">
        <v>15567.08</v>
      </c>
      <c r="I70" s="9">
        <v>17936.53</v>
      </c>
      <c r="J70" s="9">
        <v>17395.87</v>
      </c>
      <c r="K70" s="9">
        <v>17913.55</v>
      </c>
      <c r="L70" s="9">
        <v>23280.55</v>
      </c>
      <c r="M70" s="9">
        <v>16725.56</v>
      </c>
      <c r="N70" s="12">
        <v>17877.1</v>
      </c>
      <c r="O70" s="29">
        <f t="shared" si="10"/>
        <v>207954.88999999998</v>
      </c>
      <c r="P70" s="222">
        <f>(C70+D70+E70+F70+G70+H70)/(C69+D69+E69+F69+G69+H69)</f>
        <v>17.400009775919393</v>
      </c>
      <c r="Q70" s="321">
        <f>(I70+J70+K70+L70+M70+N70)/(I69+J69+K69+L69+M69+N69)</f>
        <v>19.48999764287278</v>
      </c>
      <c r="R70">
        <f>O70/O69</f>
        <v>18.457725745680797</v>
      </c>
    </row>
    <row r="71" spans="1:29" ht="15" customHeight="1" thickBot="1">
      <c r="A71" s="289" t="s">
        <v>26</v>
      </c>
      <c r="B71" s="295" t="s">
        <v>44</v>
      </c>
      <c r="C71" s="6">
        <f>C73+C77+C79+C81+C83+C85+C87+C89</f>
        <v>103105.59999999999</v>
      </c>
      <c r="D71" s="6">
        <f aca="true" t="shared" si="11" ref="D71:J71">D73+D77+D79+D81+D83+D85+D87+D89</f>
        <v>98600.12</v>
      </c>
      <c r="E71" s="6">
        <f t="shared" si="11"/>
        <v>96794.45000000001</v>
      </c>
      <c r="F71" s="6">
        <f t="shared" si="11"/>
        <v>99121.56</v>
      </c>
      <c r="G71" s="6">
        <f t="shared" si="11"/>
        <v>93022.68599999999</v>
      </c>
      <c r="H71" s="6">
        <f t="shared" si="11"/>
        <v>93860.65599999999</v>
      </c>
      <c r="I71" s="6">
        <f t="shared" si="11"/>
        <v>91538.303</v>
      </c>
      <c r="J71" s="6">
        <f t="shared" si="11"/>
        <v>95571.21399999999</v>
      </c>
      <c r="K71" s="6">
        <f aca="true" t="shared" si="12" ref="K71:M72">K73+K77+K79+K81+K83+K85+K87+K89+K75</f>
        <v>95886.196</v>
      </c>
      <c r="L71" s="6">
        <f t="shared" si="12"/>
        <v>98998.311</v>
      </c>
      <c r="M71" s="6">
        <f t="shared" si="12"/>
        <v>99138.84599999999</v>
      </c>
      <c r="N71" s="4">
        <f>N73+N77+N79+N81+N83+N85+N87+N89+N75</f>
        <v>97197.82299999999</v>
      </c>
      <c r="O71" s="35">
        <f>C71+D71+E71+F71+G71+H71+I71+J71+K71+L71+M71+N71</f>
        <v>1162835.765</v>
      </c>
      <c r="P71" s="223"/>
      <c r="Q71" s="314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</row>
    <row r="72" spans="1:29" ht="13.5" thickBot="1">
      <c r="A72" s="291"/>
      <c r="B72" s="297" t="s">
        <v>41</v>
      </c>
      <c r="C72" s="4">
        <f>C74+C78+C80+C82+C84+C86+C88+C90</f>
        <v>1533348.3399999999</v>
      </c>
      <c r="D72" s="4">
        <f aca="true" t="shared" si="13" ref="D72:J72">D74+D78+D80+D82+D84+D86+D88+D90</f>
        <v>1467944.74</v>
      </c>
      <c r="E72" s="4">
        <f t="shared" si="13"/>
        <v>1440436.65</v>
      </c>
      <c r="F72" s="4">
        <f t="shared" si="13"/>
        <v>1476074.79</v>
      </c>
      <c r="G72" s="4">
        <f t="shared" si="13"/>
        <v>1388131.43</v>
      </c>
      <c r="H72" s="4">
        <f t="shared" si="13"/>
        <v>1397071</v>
      </c>
      <c r="I72" s="4">
        <f t="shared" si="13"/>
        <v>1531941.51</v>
      </c>
      <c r="J72" s="4">
        <f t="shared" si="13"/>
        <v>1598526.6800000002</v>
      </c>
      <c r="K72" s="4">
        <f t="shared" si="12"/>
        <v>1602962.73</v>
      </c>
      <c r="L72" s="4">
        <f t="shared" si="12"/>
        <v>1648947.8800000001</v>
      </c>
      <c r="M72" s="4">
        <f t="shared" si="12"/>
        <v>1652496.32</v>
      </c>
      <c r="N72" s="4">
        <f>N74+N78+N80+N82+N84+N86+N88+N90+N76</f>
        <v>1621366.0399999998</v>
      </c>
      <c r="O72" s="23">
        <f>C72+D72+E72+F72+G72+H72+I72+J72+K72+L72+M72+N72</f>
        <v>18359248.11</v>
      </c>
      <c r="P72" s="46"/>
      <c r="Q72" s="316"/>
      <c r="R72">
        <f>O72/O71</f>
        <v>15.788341451640852</v>
      </c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29" ht="19.5" customHeight="1" thickBot="1">
      <c r="A73" s="273" t="s">
        <v>45</v>
      </c>
      <c r="B73" s="17" t="s">
        <v>44</v>
      </c>
      <c r="C73" s="81">
        <v>14695.47</v>
      </c>
      <c r="D73" s="81">
        <v>14889.86</v>
      </c>
      <c r="E73" s="81">
        <v>13965.27</v>
      </c>
      <c r="F73" s="81">
        <v>14648.25</v>
      </c>
      <c r="G73" s="81">
        <v>14350.398</v>
      </c>
      <c r="H73" s="81">
        <f>14441.898-10</f>
        <v>14431.898</v>
      </c>
      <c r="I73" s="81">
        <v>14182.658</v>
      </c>
      <c r="J73" s="81">
        <v>14517.033</v>
      </c>
      <c r="K73" s="81"/>
      <c r="L73" s="81"/>
      <c r="M73" s="44"/>
      <c r="N73" s="70"/>
      <c r="O73" s="29">
        <f aca="true" t="shared" si="14" ref="O73:O92">C73+D73+E73+F73+G73+H73+I73+J73+K73+L73+M73+N73</f>
        <v>115680.837</v>
      </c>
      <c r="P73" s="46"/>
      <c r="Q73" s="316"/>
      <c r="R73" s="83"/>
      <c r="S73" s="83"/>
      <c r="T73" s="83"/>
      <c r="U73" s="83"/>
      <c r="V73" s="83"/>
      <c r="W73" s="83"/>
      <c r="X73" s="83"/>
      <c r="Y73" s="84"/>
      <c r="Z73" s="83"/>
      <c r="AA73" s="83"/>
      <c r="AB73" s="83"/>
      <c r="AC73" s="83"/>
    </row>
    <row r="74" spans="1:29" ht="13.5" customHeight="1" thickBot="1">
      <c r="A74" s="274"/>
      <c r="B74" s="267" t="s">
        <v>41</v>
      </c>
      <c r="C74" s="45">
        <v>228073.71</v>
      </c>
      <c r="D74" s="45">
        <v>231090.65</v>
      </c>
      <c r="E74" s="45">
        <v>216741.04</v>
      </c>
      <c r="F74" s="45">
        <v>227340.81</v>
      </c>
      <c r="G74" s="45">
        <v>222718.17</v>
      </c>
      <c r="H74" s="45">
        <f>224138.26-155.2</f>
        <v>223983.06</v>
      </c>
      <c r="I74" s="45">
        <v>246494.6</v>
      </c>
      <c r="J74" s="45">
        <v>252306.04</v>
      </c>
      <c r="K74" s="45"/>
      <c r="L74" s="45"/>
      <c r="M74" s="45"/>
      <c r="N74" s="71"/>
      <c r="O74" s="29">
        <f t="shared" si="14"/>
        <v>1848748.08</v>
      </c>
      <c r="P74" s="46">
        <f>(C74+D74+E74+F74+G74+H74)/(C73+D73+E73+F73+G73+H73)</f>
        <v>15.520000621743932</v>
      </c>
      <c r="Q74" s="316">
        <v>17.38</v>
      </c>
      <c r="R74" s="83">
        <v>1</v>
      </c>
      <c r="S74" s="83">
        <v>2</v>
      </c>
      <c r="T74" s="83">
        <v>3</v>
      </c>
      <c r="U74" s="83"/>
      <c r="V74" s="83"/>
      <c r="W74" s="83"/>
      <c r="X74" s="83"/>
      <c r="Y74" s="84"/>
      <c r="Z74" s="83"/>
      <c r="AA74" s="83"/>
      <c r="AB74" s="83"/>
      <c r="AC74" s="83"/>
    </row>
    <row r="75" spans="1:19" ht="15" customHeight="1" thickBot="1">
      <c r="A75" s="275" t="s">
        <v>46</v>
      </c>
      <c r="B75" s="17" t="s">
        <v>44</v>
      </c>
      <c r="C75" s="31"/>
      <c r="D75" s="31"/>
      <c r="E75" s="31"/>
      <c r="F75" s="31"/>
      <c r="G75" s="31"/>
      <c r="H75" s="31"/>
      <c r="I75" s="31"/>
      <c r="J75" s="31"/>
      <c r="K75" s="81">
        <v>14716.585</v>
      </c>
      <c r="L75" s="81">
        <v>14175.761</v>
      </c>
      <c r="M75" s="45">
        <v>14462.46</v>
      </c>
      <c r="N75" s="32">
        <v>14541.078</v>
      </c>
      <c r="O75" s="29">
        <f t="shared" si="14"/>
        <v>57895.884</v>
      </c>
      <c r="P75" s="46"/>
      <c r="Q75" s="316"/>
      <c r="R75" s="200"/>
      <c r="S75" s="200"/>
    </row>
    <row r="76" spans="1:19" ht="19.5" customHeight="1" thickBot="1">
      <c r="A76" s="276"/>
      <c r="B76" s="267" t="s">
        <v>41</v>
      </c>
      <c r="C76" s="45"/>
      <c r="D76" s="45"/>
      <c r="E76" s="45"/>
      <c r="F76" s="45"/>
      <c r="G76" s="45"/>
      <c r="H76" s="45"/>
      <c r="I76" s="45"/>
      <c r="J76" s="45"/>
      <c r="K76" s="45">
        <v>255774.25</v>
      </c>
      <c r="L76" s="45">
        <v>246374.73</v>
      </c>
      <c r="M76" s="45">
        <v>251357.55</v>
      </c>
      <c r="N76" s="71">
        <v>252723.93</v>
      </c>
      <c r="O76" s="119">
        <f t="shared" si="14"/>
        <v>1006230.46</v>
      </c>
      <c r="P76" s="46"/>
      <c r="Q76" s="316">
        <f>(I76+J76+K76+L76+M76+N76)/(I75+J75+K75+L75+M75+N75)</f>
        <v>17.37999993229225</v>
      </c>
      <c r="R76" s="203"/>
      <c r="S76" s="203"/>
    </row>
    <row r="77" spans="1:29" ht="13.5" thickBot="1">
      <c r="A77" s="319" t="s">
        <v>34</v>
      </c>
      <c r="B77" s="17" t="s">
        <v>44</v>
      </c>
      <c r="C77" s="31">
        <v>713.3</v>
      </c>
      <c r="D77" s="31">
        <v>681</v>
      </c>
      <c r="E77" s="31">
        <v>683.02</v>
      </c>
      <c r="F77" s="31">
        <v>675.7</v>
      </c>
      <c r="G77" s="31">
        <v>733.247</v>
      </c>
      <c r="H77" s="31">
        <v>554.052</v>
      </c>
      <c r="I77" s="31">
        <v>610.476</v>
      </c>
      <c r="J77" s="31">
        <v>669.568</v>
      </c>
      <c r="K77" s="31">
        <v>748.504</v>
      </c>
      <c r="L77" s="31">
        <v>647.774</v>
      </c>
      <c r="M77" s="31">
        <v>630.911</v>
      </c>
      <c r="N77" s="32">
        <v>695.284</v>
      </c>
      <c r="O77" s="29">
        <f t="shared" si="14"/>
        <v>8042.835999999999</v>
      </c>
      <c r="P77" s="46"/>
      <c r="Q77" s="316"/>
      <c r="R77" s="312">
        <v>92.6</v>
      </c>
      <c r="S77" s="120">
        <v>92.6</v>
      </c>
      <c r="T77" s="310">
        <v>92.6</v>
      </c>
      <c r="U77" s="83"/>
      <c r="V77" s="83"/>
      <c r="W77" s="83"/>
      <c r="X77" s="311"/>
      <c r="Y77" s="83"/>
      <c r="Z77" s="83"/>
      <c r="AA77" s="83"/>
      <c r="AB77" s="83"/>
      <c r="AC77" s="83"/>
    </row>
    <row r="78" spans="1:29" ht="13.5" thickBot="1">
      <c r="A78" s="318"/>
      <c r="B78" s="267" t="s">
        <v>41</v>
      </c>
      <c r="C78" s="45">
        <v>15920.87</v>
      </c>
      <c r="D78" s="45">
        <v>15199.93</v>
      </c>
      <c r="E78" s="45">
        <v>15245.06</v>
      </c>
      <c r="F78" s="45">
        <v>15081.72</v>
      </c>
      <c r="G78" s="45">
        <v>16366.07</v>
      </c>
      <c r="H78" s="45">
        <v>12366.45</v>
      </c>
      <c r="I78" s="45">
        <v>15261.9</v>
      </c>
      <c r="J78" s="45">
        <v>16739.21</v>
      </c>
      <c r="K78" s="45">
        <v>18712.6</v>
      </c>
      <c r="L78" s="45">
        <v>16194.35</v>
      </c>
      <c r="M78" s="45">
        <v>15772.78</v>
      </c>
      <c r="N78" s="71">
        <v>17382.11</v>
      </c>
      <c r="O78" s="29">
        <f t="shared" si="14"/>
        <v>190243.05</v>
      </c>
      <c r="P78" s="46">
        <f>(C78+D78+E78+F78+G78+H78)/(C77+D77+E77+F77+G77+H77)</f>
        <v>22.32004453113727</v>
      </c>
      <c r="Q78" s="316">
        <f>(K78+L78+M78+N78)/(K77+L77+M77+N77)</f>
        <v>25.000005509696514</v>
      </c>
      <c r="R78" s="312">
        <v>1414.01</v>
      </c>
      <c r="S78" s="120">
        <v>1414.01</v>
      </c>
      <c r="T78" s="310">
        <v>1414.01</v>
      </c>
      <c r="U78" s="83"/>
      <c r="V78" s="83"/>
      <c r="W78" s="83"/>
      <c r="X78" s="311"/>
      <c r="Y78" s="83"/>
      <c r="Z78" s="83"/>
      <c r="AA78" s="83"/>
      <c r="AB78" s="83"/>
      <c r="AC78" s="83"/>
    </row>
    <row r="79" spans="1:17" ht="15" customHeight="1" thickBot="1">
      <c r="A79" s="273" t="s">
        <v>22</v>
      </c>
      <c r="B79" s="17" t="s">
        <v>44</v>
      </c>
      <c r="C79" s="31">
        <v>48610.3</v>
      </c>
      <c r="D79" s="31">
        <v>45147.67</v>
      </c>
      <c r="E79" s="31">
        <v>45131.48</v>
      </c>
      <c r="F79" s="31">
        <v>45982.97</v>
      </c>
      <c r="G79" s="31">
        <v>43701.495</v>
      </c>
      <c r="H79" s="31">
        <f>45716.941+10</f>
        <v>45726.941</v>
      </c>
      <c r="I79" s="31">
        <v>40283.918</v>
      </c>
      <c r="J79" s="31">
        <v>43588.031</v>
      </c>
      <c r="K79" s="31">
        <v>44497.87</v>
      </c>
      <c r="L79" s="31">
        <v>47649.245</v>
      </c>
      <c r="M79" s="31">
        <v>46638.848</v>
      </c>
      <c r="N79" s="32">
        <v>45098.292</v>
      </c>
      <c r="O79" s="29">
        <f t="shared" si="14"/>
        <v>542057.06</v>
      </c>
      <c r="P79" s="46"/>
      <c r="Q79" s="316"/>
    </row>
    <row r="80" spans="1:19" ht="14.25" customHeight="1" thickBot="1">
      <c r="A80" s="274"/>
      <c r="B80" s="267" t="s">
        <v>41</v>
      </c>
      <c r="C80" s="45">
        <v>705854.88</v>
      </c>
      <c r="D80" s="45">
        <v>655894.41</v>
      </c>
      <c r="E80" s="45">
        <v>655566.61</v>
      </c>
      <c r="F80" s="45">
        <v>667894.1</v>
      </c>
      <c r="G80" s="45">
        <v>634894.5</v>
      </c>
      <c r="H80" s="45">
        <f>664003.78+155.2</f>
        <v>664158.98</v>
      </c>
      <c r="I80" s="45">
        <v>656177.89</v>
      </c>
      <c r="J80" s="45">
        <v>709220.97</v>
      </c>
      <c r="K80" s="45">
        <v>723778.98</v>
      </c>
      <c r="L80" s="45">
        <v>775150.9</v>
      </c>
      <c r="M80" s="45">
        <v>758834.87</v>
      </c>
      <c r="N80" s="71">
        <v>733930.79</v>
      </c>
      <c r="O80" s="29">
        <f t="shared" si="14"/>
        <v>8341357.880000001</v>
      </c>
      <c r="P80" s="46">
        <v>14.52</v>
      </c>
      <c r="Q80" s="316">
        <f>(K80+L80+M80+N80)/(K79+L79+M79+N79)</f>
        <v>16.26944917062094</v>
      </c>
      <c r="R80">
        <f>O80/O79</f>
        <v>15.388339153815283</v>
      </c>
      <c r="S80" s="50">
        <f>O74+O76+O78+O80+O82+O84+O86+O88+O90</f>
        <v>18359248.11</v>
      </c>
    </row>
    <row r="81" spans="1:17" ht="15.75" customHeight="1" thickBot="1">
      <c r="A81" s="273" t="s">
        <v>27</v>
      </c>
      <c r="B81" s="17" t="s">
        <v>44</v>
      </c>
      <c r="C81" s="31">
        <v>4647.46</v>
      </c>
      <c r="D81" s="31">
        <v>4442.85</v>
      </c>
      <c r="E81" s="31">
        <v>4341.87</v>
      </c>
      <c r="F81" s="31">
        <v>4228.91</v>
      </c>
      <c r="G81" s="31">
        <v>3343.006</v>
      </c>
      <c r="H81" s="31">
        <v>3508.168</v>
      </c>
      <c r="I81" s="31">
        <v>3456.721</v>
      </c>
      <c r="J81" s="31">
        <v>3344.269</v>
      </c>
      <c r="K81" s="31">
        <v>3451.44</v>
      </c>
      <c r="L81" s="31">
        <v>4227.851</v>
      </c>
      <c r="M81" s="31">
        <v>4266.019</v>
      </c>
      <c r="N81" s="32">
        <v>4188.684</v>
      </c>
      <c r="O81" s="29">
        <f t="shared" si="14"/>
        <v>47447.24800000001</v>
      </c>
      <c r="P81" s="46"/>
      <c r="Q81" s="316"/>
    </row>
    <row r="82" spans="1:18" ht="12" customHeight="1" thickBot="1">
      <c r="A82" s="274"/>
      <c r="B82" s="267" t="s">
        <v>41</v>
      </c>
      <c r="C82" s="45">
        <v>52934.55</v>
      </c>
      <c r="D82" s="45">
        <v>50604.01</v>
      </c>
      <c r="E82" s="45">
        <v>49453.95</v>
      </c>
      <c r="F82" s="45">
        <v>48167.25</v>
      </c>
      <c r="G82" s="45">
        <v>38076.84</v>
      </c>
      <c r="H82" s="45">
        <v>39958.03</v>
      </c>
      <c r="I82" s="45">
        <v>44107.76</v>
      </c>
      <c r="J82" s="45">
        <v>42672.87</v>
      </c>
      <c r="K82" s="45">
        <v>44040.38</v>
      </c>
      <c r="L82" s="45">
        <v>53947.38</v>
      </c>
      <c r="M82" s="45">
        <v>54434.4</v>
      </c>
      <c r="N82" s="71">
        <v>53447.61</v>
      </c>
      <c r="O82" s="29">
        <f t="shared" si="14"/>
        <v>571845.03</v>
      </c>
      <c r="P82" s="46">
        <f>(C82+D82+E82+F82+G82+H82)/(C81+D81+E81+F81+G81+H81)</f>
        <v>11.389997676265235</v>
      </c>
      <c r="Q82" s="316">
        <f>(K82+L82+M82+N82)/(K81+L81+M81+N81)</f>
        <v>12.760000406594923</v>
      </c>
      <c r="R82">
        <f>O82/O81</f>
        <v>12.052227560173773</v>
      </c>
    </row>
    <row r="83" spans="1:17" ht="13.5" customHeight="1" thickBot="1">
      <c r="A83" s="273" t="s">
        <v>51</v>
      </c>
      <c r="B83" s="17" t="s">
        <v>44</v>
      </c>
      <c r="C83" s="31">
        <v>867.01</v>
      </c>
      <c r="D83" s="31">
        <v>909.54</v>
      </c>
      <c r="E83" s="31">
        <v>789.78</v>
      </c>
      <c r="F83" s="31">
        <v>821.29</v>
      </c>
      <c r="G83" s="31">
        <v>548.842</v>
      </c>
      <c r="H83" s="31">
        <v>595.126</v>
      </c>
      <c r="I83" s="31">
        <v>582.595</v>
      </c>
      <c r="J83" s="31">
        <v>584.986</v>
      </c>
      <c r="K83" s="31">
        <v>524.084</v>
      </c>
      <c r="L83" s="31">
        <v>633.413</v>
      </c>
      <c r="M83" s="31">
        <v>721.913</v>
      </c>
      <c r="N83" s="32">
        <v>746.234</v>
      </c>
      <c r="O83" s="29">
        <f t="shared" si="14"/>
        <v>8324.813</v>
      </c>
      <c r="P83" s="46"/>
      <c r="Q83" s="316"/>
    </row>
    <row r="84" spans="1:18" ht="12" customHeight="1" thickBot="1">
      <c r="A84" s="274"/>
      <c r="B84" s="267" t="s">
        <v>41</v>
      </c>
      <c r="C84" s="45">
        <v>12493.68</v>
      </c>
      <c r="D84" s="45">
        <v>13106.54</v>
      </c>
      <c r="E84" s="45">
        <v>11380.75</v>
      </c>
      <c r="F84" s="45">
        <v>11834.79</v>
      </c>
      <c r="G84" s="45">
        <v>7908.82</v>
      </c>
      <c r="H84" s="45">
        <v>8575.76</v>
      </c>
      <c r="I84" s="45">
        <v>9403.09</v>
      </c>
      <c r="J84" s="45">
        <v>9441.67</v>
      </c>
      <c r="K84" s="45">
        <v>8458.71</v>
      </c>
      <c r="L84" s="45">
        <v>10223.28</v>
      </c>
      <c r="M84" s="45">
        <v>11651.67</v>
      </c>
      <c r="N84" s="71">
        <v>12044.21</v>
      </c>
      <c r="O84" s="29">
        <f t="shared" si="14"/>
        <v>126522.97</v>
      </c>
      <c r="P84" s="46">
        <f>(C84+D84+E84+F84+G84+H84)/(C83+D83+E83+F83+G83+H83)</f>
        <v>14.410034628037678</v>
      </c>
      <c r="Q84" s="316">
        <f aca="true" t="shared" si="15" ref="Q84:Q90">(K84+L84+M84+N84)/(K83+L83+M83+N83)</f>
        <v>16.139990798447922</v>
      </c>
      <c r="R84">
        <f>O84/O83</f>
        <v>15.198295745502032</v>
      </c>
    </row>
    <row r="85" spans="1:17" ht="16.5" customHeight="1" thickBot="1">
      <c r="A85" s="273" t="s">
        <v>30</v>
      </c>
      <c r="B85" s="17" t="s">
        <v>44</v>
      </c>
      <c r="C85" s="31">
        <v>1288.56</v>
      </c>
      <c r="D85" s="31">
        <v>1287.75</v>
      </c>
      <c r="E85" s="31">
        <v>1274.77</v>
      </c>
      <c r="F85" s="31">
        <v>1240.63</v>
      </c>
      <c r="G85" s="31">
        <v>1267.729</v>
      </c>
      <c r="H85" s="31">
        <v>1236.457</v>
      </c>
      <c r="I85" s="31">
        <v>1255.473</v>
      </c>
      <c r="J85" s="31">
        <v>1231.062</v>
      </c>
      <c r="K85" s="31">
        <v>1247.246</v>
      </c>
      <c r="L85" s="31">
        <v>1509.901</v>
      </c>
      <c r="M85" s="31">
        <v>1177.065</v>
      </c>
      <c r="N85" s="32">
        <v>1292.754</v>
      </c>
      <c r="O85" s="29">
        <f t="shared" si="14"/>
        <v>15309.397</v>
      </c>
      <c r="P85" s="46"/>
      <c r="Q85" s="316"/>
    </row>
    <row r="86" spans="1:18" ht="11.25" customHeight="1" thickBot="1">
      <c r="A86" s="274"/>
      <c r="B86" s="267" t="s">
        <v>41</v>
      </c>
      <c r="C86" s="45">
        <v>18568.21</v>
      </c>
      <c r="D86" s="45">
        <v>18556.41</v>
      </c>
      <c r="E86" s="45">
        <v>18369.38</v>
      </c>
      <c r="F86" s="45">
        <v>17877.47</v>
      </c>
      <c r="G86" s="45">
        <v>18267.97</v>
      </c>
      <c r="H86" s="45">
        <v>17817.34</v>
      </c>
      <c r="I86" s="45">
        <v>20263.33</v>
      </c>
      <c r="J86" s="45">
        <v>19869.34</v>
      </c>
      <c r="K86" s="45">
        <v>20130.55</v>
      </c>
      <c r="L86" s="45">
        <v>24369.8</v>
      </c>
      <c r="M86" s="45">
        <v>18997.83</v>
      </c>
      <c r="N86" s="71">
        <v>20865.05</v>
      </c>
      <c r="O86" s="29">
        <f t="shared" si="14"/>
        <v>233952.68</v>
      </c>
      <c r="P86" s="46">
        <f>(C86+D86+E86+F86+G86+H86)/(C85+D85+E85+F85+G85+H85)</f>
        <v>14.409989288952875</v>
      </c>
      <c r="Q86" s="316">
        <f t="shared" si="15"/>
        <v>16.139999762768685</v>
      </c>
      <c r="R86">
        <f>O86/O85</f>
        <v>15.28163911354575</v>
      </c>
    </row>
    <row r="87" spans="1:17" ht="13.5" thickBot="1">
      <c r="A87" s="273" t="s">
        <v>55</v>
      </c>
      <c r="B87" s="17" t="s">
        <v>44</v>
      </c>
      <c r="C87" s="31">
        <v>11321.23</v>
      </c>
      <c r="D87" s="31">
        <v>10301.65</v>
      </c>
      <c r="E87" s="31">
        <v>10119.94</v>
      </c>
      <c r="F87" s="31">
        <v>10494.64</v>
      </c>
      <c r="G87" s="31">
        <v>9916.254</v>
      </c>
      <c r="H87" s="31">
        <v>10095.962</v>
      </c>
      <c r="I87" s="31">
        <v>10453.727</v>
      </c>
      <c r="J87" s="31">
        <v>10921.704</v>
      </c>
      <c r="K87" s="31">
        <v>10610.667</v>
      </c>
      <c r="L87" s="31">
        <v>10217.956</v>
      </c>
      <c r="M87" s="31">
        <v>10850.319</v>
      </c>
      <c r="N87" s="32">
        <v>10618.56</v>
      </c>
      <c r="O87" s="29">
        <f t="shared" si="14"/>
        <v>125922.60900000001</v>
      </c>
      <c r="P87" s="46"/>
      <c r="Q87" s="316"/>
    </row>
    <row r="88" spans="1:18" ht="34.5" customHeight="1" thickBot="1">
      <c r="A88" s="274"/>
      <c r="B88" s="267" t="s">
        <v>41</v>
      </c>
      <c r="C88" s="45">
        <v>174168.03</v>
      </c>
      <c r="D88" s="45">
        <v>158507.13</v>
      </c>
      <c r="E88" s="45">
        <v>155701.19</v>
      </c>
      <c r="F88" s="45">
        <v>161505.89</v>
      </c>
      <c r="G88" s="45">
        <v>152509.25</v>
      </c>
      <c r="H88" s="45">
        <v>155320.33</v>
      </c>
      <c r="I88" s="45">
        <v>180245.61</v>
      </c>
      <c r="J88" s="45">
        <v>188257.51</v>
      </c>
      <c r="K88" s="45">
        <v>182906.53</v>
      </c>
      <c r="L88" s="45">
        <v>176192.64</v>
      </c>
      <c r="M88" s="45">
        <v>187046.24</v>
      </c>
      <c r="N88" s="71">
        <v>183077.97</v>
      </c>
      <c r="O88" s="119">
        <f t="shared" si="14"/>
        <v>2055438.3199999998</v>
      </c>
      <c r="P88" s="46">
        <f>(C88+D88+E88+F88+G88+H88)/(C87+D87+E87+F87+G87+H87)</f>
        <v>15.385008911532326</v>
      </c>
      <c r="Q88" s="316">
        <v>17.23</v>
      </c>
      <c r="R88">
        <f>O88/O87</f>
        <v>16.323028376897746</v>
      </c>
    </row>
    <row r="89" spans="1:17" s="30" customFormat="1" ht="21.75" customHeight="1" thickBot="1">
      <c r="A89" s="273" t="s">
        <v>56</v>
      </c>
      <c r="B89" s="17" t="s">
        <v>44</v>
      </c>
      <c r="C89" s="31">
        <v>20962.27</v>
      </c>
      <c r="D89" s="31">
        <v>20939.8</v>
      </c>
      <c r="E89" s="31">
        <v>20488.32</v>
      </c>
      <c r="F89" s="31">
        <v>21029.17</v>
      </c>
      <c r="G89" s="31">
        <v>19161.715</v>
      </c>
      <c r="H89" s="31">
        <v>17712.052</v>
      </c>
      <c r="I89" s="31">
        <v>20712.735</v>
      </c>
      <c r="J89" s="31">
        <v>20714.561</v>
      </c>
      <c r="K89" s="31">
        <v>20089.8</v>
      </c>
      <c r="L89" s="31">
        <v>19936.41</v>
      </c>
      <c r="M89" s="31">
        <v>20391.311</v>
      </c>
      <c r="N89" s="32">
        <v>20016.937</v>
      </c>
      <c r="O89" s="29">
        <f t="shared" si="14"/>
        <v>242155.08099999998</v>
      </c>
      <c r="P89" s="46"/>
      <c r="Q89" s="316"/>
    </row>
    <row r="90" spans="1:18" s="30" customFormat="1" ht="25.5" customHeight="1" thickBot="1">
      <c r="A90" s="322"/>
      <c r="B90" s="323" t="s">
        <v>41</v>
      </c>
      <c r="C90" s="229">
        <v>325334.41</v>
      </c>
      <c r="D90" s="229">
        <v>324985.66</v>
      </c>
      <c r="E90" s="229">
        <v>317978.67</v>
      </c>
      <c r="F90" s="229">
        <v>326372.76</v>
      </c>
      <c r="G90" s="229">
        <v>297389.81</v>
      </c>
      <c r="H90" s="229">
        <v>274891.05</v>
      </c>
      <c r="I90" s="229">
        <v>359987.33</v>
      </c>
      <c r="J90" s="229">
        <v>360019.07</v>
      </c>
      <c r="K90" s="229">
        <v>349160.73</v>
      </c>
      <c r="L90" s="229">
        <v>346494.8</v>
      </c>
      <c r="M90" s="229">
        <v>354400.98</v>
      </c>
      <c r="N90" s="256">
        <v>347894.37</v>
      </c>
      <c r="O90" s="230">
        <f t="shared" si="14"/>
        <v>3984909.6399999997</v>
      </c>
      <c r="P90" s="231">
        <f>(C90+D90+E90+F90+G90+H90)/(C89+D89+E89+F89+G89+H89)</f>
        <v>15.519999376191501</v>
      </c>
      <c r="Q90" s="321">
        <f t="shared" si="15"/>
        <v>17.3799999995027</v>
      </c>
      <c r="R90">
        <f>O90/O89</f>
        <v>16.456023237439318</v>
      </c>
    </row>
    <row r="91" spans="1:17" ht="12.75" hidden="1">
      <c r="A91" s="224" t="s">
        <v>28</v>
      </c>
      <c r="B91" s="224"/>
      <c r="C91" s="225"/>
      <c r="D91" s="225"/>
      <c r="E91" s="225"/>
      <c r="F91" s="226"/>
      <c r="G91" s="225"/>
      <c r="H91" s="225"/>
      <c r="I91" s="225"/>
      <c r="J91" s="227"/>
      <c r="K91" s="227"/>
      <c r="L91" s="27"/>
      <c r="M91" s="27"/>
      <c r="N91" s="28"/>
      <c r="O91" s="34">
        <f t="shared" si="14"/>
        <v>0</v>
      </c>
      <c r="P91" s="228"/>
      <c r="Q91" s="41"/>
    </row>
    <row r="92" spans="1:17" ht="12.75" hidden="1">
      <c r="A92" s="21"/>
      <c r="B92" s="21"/>
      <c r="C92" s="183"/>
      <c r="D92" s="183"/>
      <c r="E92" s="183"/>
      <c r="F92" s="184"/>
      <c r="G92" s="183"/>
      <c r="H92" s="183"/>
      <c r="I92" s="183"/>
      <c r="J92" s="25"/>
      <c r="K92" s="25"/>
      <c r="L92" s="7"/>
      <c r="M92" s="7"/>
      <c r="N92" s="10"/>
      <c r="O92" s="29">
        <f t="shared" si="14"/>
        <v>0</v>
      </c>
      <c r="P92" s="26" t="e">
        <f>O92/O91</f>
        <v>#DIV/0!</v>
      </c>
      <c r="Q92" s="47"/>
    </row>
    <row r="93" spans="3:9" ht="12.75" hidden="1">
      <c r="C93" s="20"/>
      <c r="D93" s="20"/>
      <c r="E93" s="20"/>
      <c r="F93" s="185"/>
      <c r="G93" s="20"/>
      <c r="H93" s="20"/>
      <c r="I93" s="20"/>
    </row>
    <row r="94" spans="3:19" ht="12.75" hidden="1">
      <c r="C94" s="24">
        <f>C72+C50+C32+C6</f>
        <v>21648526.68</v>
      </c>
      <c r="D94" s="24">
        <f>D72+D50+D32+D6</f>
        <v>20972124.56</v>
      </c>
      <c r="E94" s="24">
        <f>E72+E50+E32+E6</f>
        <v>19548949.239999995</v>
      </c>
      <c r="F94" s="89">
        <f>F72+F50+F32+F6</f>
        <v>13676626.52</v>
      </c>
      <c r="G94" s="24">
        <f>G72+G50+G32+G6</f>
        <v>4064748.09</v>
      </c>
      <c r="H94" s="24">
        <f>H72+H50+H32+H6</f>
        <v>3774125.690000001</v>
      </c>
      <c r="I94" s="24">
        <f>I72+I50+I32+I6</f>
        <v>4070217.2399999993</v>
      </c>
      <c r="J94" s="49">
        <f>J72+J50+J32+J6</f>
        <v>4409412.5</v>
      </c>
      <c r="K94" s="49">
        <f>K72+K50+K32+K6</f>
        <v>4554651.57</v>
      </c>
      <c r="L94" s="49">
        <f>L72+L50+L32+L6</f>
        <v>14026257.549999999</v>
      </c>
      <c r="M94" s="49">
        <f>M72+M50+M32+M6</f>
        <v>18498208.39</v>
      </c>
      <c r="N94" s="49">
        <f>N72+N50+N32+N6</f>
        <v>23099306.9</v>
      </c>
      <c r="O94" s="49">
        <f>O72+O50+O32+O6</f>
        <v>152343154.93</v>
      </c>
      <c r="P94" s="266">
        <f>R78*6+X78*6</f>
        <v>8484.06</v>
      </c>
      <c r="S94" s="50" t="e">
        <f>S80+S51+S33+S8</f>
        <v>#REF!</v>
      </c>
    </row>
    <row r="95" spans="6:15" ht="12.75" hidden="1">
      <c r="F95" s="90"/>
      <c r="O95" s="58">
        <f>O94+P94</f>
        <v>152351638.99</v>
      </c>
    </row>
    <row r="96" ht="12.75">
      <c r="F96" s="85"/>
    </row>
    <row r="97" ht="12.75">
      <c r="F97" s="85"/>
    </row>
    <row r="98" ht="12.75">
      <c r="F98" s="85"/>
    </row>
    <row r="99" ht="12.75">
      <c r="F99" s="62"/>
    </row>
    <row r="100" ht="12.75">
      <c r="F100" s="62"/>
    </row>
    <row r="101" ht="12.75">
      <c r="F101" s="62"/>
    </row>
    <row r="102" ht="12.75">
      <c r="F102" s="62"/>
    </row>
    <row r="103" ht="12.75">
      <c r="F103" s="62"/>
    </row>
    <row r="104" ht="12.75">
      <c r="F104" s="62"/>
    </row>
    <row r="105" ht="12.75">
      <c r="F105" s="62"/>
    </row>
    <row r="106" ht="12.75">
      <c r="F106" s="62"/>
    </row>
    <row r="107" ht="12.75">
      <c r="F107" s="62"/>
    </row>
    <row r="108" ht="12.75">
      <c r="F108" s="62"/>
    </row>
    <row r="109" ht="12.75">
      <c r="F109" s="62"/>
    </row>
    <row r="110" ht="12.75">
      <c r="F110" s="62"/>
    </row>
    <row r="111" ht="12.75">
      <c r="F111" s="62"/>
    </row>
    <row r="112" ht="12.75">
      <c r="F112" s="62"/>
    </row>
    <row r="113" ht="12.75">
      <c r="F113" s="62"/>
    </row>
    <row r="114" ht="12.75">
      <c r="F114" s="62"/>
    </row>
    <row r="115" ht="12.75">
      <c r="F115" s="62"/>
    </row>
    <row r="116" ht="12.75">
      <c r="F116" s="62"/>
    </row>
    <row r="117" ht="12.75">
      <c r="F117" s="62"/>
    </row>
    <row r="118" ht="12.75">
      <c r="F118" s="62"/>
    </row>
    <row r="119" ht="12.75">
      <c r="F119" s="62"/>
    </row>
    <row r="120" ht="12.75">
      <c r="E120" s="86"/>
    </row>
    <row r="121" ht="12.75">
      <c r="E121" s="86"/>
    </row>
    <row r="122" ht="12.75">
      <c r="E122" s="86"/>
    </row>
    <row r="123" ht="12.75">
      <c r="E123" s="86"/>
    </row>
    <row r="124" ht="12.75">
      <c r="E124" s="86"/>
    </row>
    <row r="125" ht="12.75">
      <c r="E125" s="86"/>
    </row>
    <row r="126" ht="12.75">
      <c r="E126" s="86"/>
    </row>
    <row r="127" ht="12.75">
      <c r="E127" s="86"/>
    </row>
    <row r="128" ht="12.75">
      <c r="E128" s="86"/>
    </row>
    <row r="129" ht="12.75">
      <c r="E129" s="86"/>
    </row>
    <row r="130" ht="12.75">
      <c r="E130" s="86"/>
    </row>
    <row r="131" ht="12.75">
      <c r="E131" s="86"/>
    </row>
    <row r="132" ht="12.75">
      <c r="E132" s="86"/>
    </row>
    <row r="133" ht="12.75">
      <c r="E133" s="86"/>
    </row>
    <row r="134" ht="12.75">
      <c r="E134" s="86"/>
    </row>
    <row r="135" ht="12.75">
      <c r="E135" s="86"/>
    </row>
    <row r="136" ht="12.75">
      <c r="E136" s="86"/>
    </row>
    <row r="137" ht="12.75">
      <c r="E137" s="86"/>
    </row>
    <row r="138" ht="12.75">
      <c r="E138" s="86"/>
    </row>
    <row r="139" ht="12.75">
      <c r="E139" s="86"/>
    </row>
    <row r="140" ht="12.75">
      <c r="E140" s="86"/>
    </row>
    <row r="141" ht="12.75">
      <c r="E141" s="86"/>
    </row>
    <row r="142" ht="12.75">
      <c r="E142" s="86"/>
    </row>
    <row r="143" ht="12.75">
      <c r="E143" s="86"/>
    </row>
    <row r="144" ht="12.75">
      <c r="E144" s="86"/>
    </row>
    <row r="145" ht="12.75">
      <c r="E145" s="86"/>
    </row>
    <row r="146" ht="12.75">
      <c r="E146" s="86"/>
    </row>
    <row r="147" ht="12.75">
      <c r="E147" s="86"/>
    </row>
    <row r="148" ht="12.75">
      <c r="E148" s="86"/>
    </row>
    <row r="149" ht="12.75">
      <c r="E149" s="86"/>
    </row>
    <row r="150" ht="12.75">
      <c r="E150" s="86"/>
    </row>
    <row r="151" ht="12.75">
      <c r="E151" s="86"/>
    </row>
  </sheetData>
  <sheetProtection/>
  <mergeCells count="46">
    <mergeCell ref="A83:A84"/>
    <mergeCell ref="A85:A86"/>
    <mergeCell ref="A87:A88"/>
    <mergeCell ref="A89:A90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AQ1"/>
    <mergeCell ref="A2:AQ2"/>
    <mergeCell ref="D3:O3"/>
    <mergeCell ref="A5:A6"/>
    <mergeCell ref="A7:A8"/>
    <mergeCell ref="A9:A10"/>
  </mergeCells>
  <printOptions/>
  <pageMargins left="0.5905511811023623" right="0.3937007874015748" top="0" bottom="0" header="0.11811023622047245" footer="0.11811023622047245"/>
  <pageSetup horizontalDpi="600" verticalDpi="600" orientation="portrait" paperSize="9" scale="50" r:id="rId1"/>
  <rowBreaks count="1" manualBreakCount="1">
    <brk id="9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xSplit="4" ySplit="1" topLeftCell="E6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94" sqref="P94"/>
    </sheetView>
  </sheetViews>
  <sheetFormatPr defaultColWidth="9.140625" defaultRowHeight="12.75"/>
  <cols>
    <col min="1" max="1" width="18.28125" style="156" customWidth="1"/>
    <col min="2" max="2" width="8.00390625" style="19" customWidth="1"/>
    <col min="3" max="3" width="10.57421875" style="50" customWidth="1"/>
    <col min="4" max="4" width="10.7109375" style="50" customWidth="1"/>
    <col min="5" max="5" width="10.57421875" style="50" customWidth="1"/>
    <col min="6" max="6" width="10.7109375" style="50" customWidth="1"/>
    <col min="7" max="7" width="10.00390625" style="50" customWidth="1"/>
    <col min="8" max="8" width="9.8515625" style="50" customWidth="1"/>
    <col min="9" max="9" width="8.00390625" style="156" customWidth="1"/>
    <col min="10" max="10" width="9.00390625" style="50" customWidth="1"/>
    <col min="11" max="11" width="8.8515625" style="50" customWidth="1"/>
    <col min="12" max="12" width="9.421875" style="0" customWidth="1"/>
    <col min="13" max="13" width="11.00390625" style="0" customWidth="1"/>
    <col min="14" max="14" width="12.57421875" style="0" customWidth="1"/>
    <col min="15" max="15" width="12.00390625" style="0" customWidth="1"/>
    <col min="16" max="16" width="13.8515625" style="20" customWidth="1"/>
    <col min="19" max="19" width="10.57421875" style="0" bestFit="1" customWidth="1"/>
  </cols>
  <sheetData>
    <row r="1" spans="1:16" ht="13.5" thickBot="1">
      <c r="A1" s="141"/>
      <c r="B1" s="13"/>
      <c r="C1" s="52" t="s">
        <v>9</v>
      </c>
      <c r="D1" s="52" t="s">
        <v>10</v>
      </c>
      <c r="E1" s="52" t="s">
        <v>11</v>
      </c>
      <c r="F1" s="52" t="s">
        <v>12</v>
      </c>
      <c r="G1" s="52" t="s">
        <v>13</v>
      </c>
      <c r="H1" s="52" t="s">
        <v>14</v>
      </c>
      <c r="I1" s="177"/>
      <c r="J1" s="52" t="s">
        <v>15</v>
      </c>
      <c r="K1" s="52" t="s">
        <v>16</v>
      </c>
      <c r="L1" s="1" t="s">
        <v>17</v>
      </c>
      <c r="M1" s="1" t="s">
        <v>18</v>
      </c>
      <c r="N1" s="1" t="s">
        <v>19</v>
      </c>
      <c r="O1" s="22" t="s">
        <v>20</v>
      </c>
      <c r="P1" s="92" t="s">
        <v>0</v>
      </c>
    </row>
    <row r="2" spans="1:16" ht="13.5" thickBot="1">
      <c r="A2" s="142" t="s">
        <v>1</v>
      </c>
      <c r="B2" s="36"/>
      <c r="C2" s="4">
        <f aca="true" t="shared" si="0" ref="C2:H2">C4+C6+C8+C12+C14+C16+C18+C20+C22+C24</f>
        <v>12155088.059473999</v>
      </c>
      <c r="D2" s="4">
        <f t="shared" si="0"/>
        <v>11844539.497815</v>
      </c>
      <c r="E2" s="4">
        <f t="shared" si="0"/>
        <v>10847716.0207</v>
      </c>
      <c r="F2" s="4">
        <f t="shared" si="0"/>
        <v>6606335.054199999</v>
      </c>
      <c r="G2" s="48">
        <f t="shared" si="0"/>
        <v>3370.5096599999997</v>
      </c>
      <c r="H2" s="48">
        <f t="shared" si="0"/>
        <v>0</v>
      </c>
      <c r="I2" s="178"/>
      <c r="J2" s="48" t="e">
        <f>J4+J6+J8+J12+J14+J16+J18+J20+J22</f>
        <v>#REF!</v>
      </c>
      <c r="K2" s="48" t="e">
        <f>K4+K6+K8+K12+K14+K16+K18+K20+K22</f>
        <v>#REF!</v>
      </c>
      <c r="L2" s="4" t="e">
        <f>L4+L6+L8+L12+L14+L16+L18+L20+L22</f>
        <v>#REF!</v>
      </c>
      <c r="M2" s="4" t="e">
        <f>M4+M6+M8+M12+M14+M16+M18+M20+M22+M24+M10+M26+M28</f>
        <v>#REF!</v>
      </c>
      <c r="N2" s="4" t="e">
        <f>N4+N6+N8+N12+N14+N16+N18+N20+N22+N24+N10+N26+N28</f>
        <v>#REF!</v>
      </c>
      <c r="O2" s="5" t="e">
        <f>O4+O6+O8+O12+O14+O16+O18+O20+O22+O24</f>
        <v>#REF!</v>
      </c>
      <c r="P2" s="93" t="e">
        <f>C2+D2+E2+F2+G2+H2+J2+K2+L2+M2+N2+O2</f>
        <v>#REF!</v>
      </c>
    </row>
    <row r="3" spans="1:16" ht="7.5" customHeight="1" thickBot="1">
      <c r="A3" s="143"/>
      <c r="B3" s="14"/>
      <c r="C3" s="48"/>
      <c r="D3" s="48"/>
      <c r="E3" s="48"/>
      <c r="F3" s="48"/>
      <c r="G3" s="48"/>
      <c r="H3" s="48"/>
      <c r="I3" s="179"/>
      <c r="J3" s="48"/>
      <c r="K3" s="48"/>
      <c r="L3" s="4"/>
      <c r="M3" s="4"/>
      <c r="N3" s="4"/>
      <c r="O3" s="5"/>
      <c r="P3" s="93"/>
    </row>
    <row r="4" spans="1:16" ht="31.5" customHeight="1" thickBot="1">
      <c r="A4" s="134" t="s">
        <v>33</v>
      </c>
      <c r="B4" s="121">
        <v>3267.49</v>
      </c>
      <c r="C4" s="157">
        <f>('тариф и РС'!$B$4-'тариф и РС'!$B$5)*население!C7</f>
        <v>111620.09442</v>
      </c>
      <c r="D4" s="158">
        <f>('тариф и РС'!$B$4-'тариф и РС'!$B$5)*население!D7</f>
        <v>108733.30835299999</v>
      </c>
      <c r="E4" s="158">
        <f>('тариф и РС'!$B$4-'тариф и РС'!$B$5)*население!E7</f>
        <v>99669.27019999998</v>
      </c>
      <c r="F4" s="158">
        <f>('тариф и РС'!$B$4-'тариф и РС'!$B$5)*население!F7</f>
        <v>60401.0441</v>
      </c>
      <c r="G4" s="158">
        <f>('тариф и РС'!$B$4-'тариф и РС'!$B$5)*население!G7</f>
        <v>0</v>
      </c>
      <c r="H4" s="158">
        <f>('тариф и РС'!$B$4-'тариф и РС'!$B$5)*население!H7</f>
        <v>0</v>
      </c>
      <c r="I4" s="180">
        <v>4349.75</v>
      </c>
      <c r="J4" s="160">
        <f>('тариф и РС'!$I$4-'тариф и РС'!$I$5)*население!I7</f>
        <v>0</v>
      </c>
      <c r="K4" s="160">
        <f>('тариф и РС'!$I$4-'тариф и РС'!$I$5)*население!J7</f>
        <v>0</v>
      </c>
      <c r="L4" s="160">
        <f>('тариф и РС'!$I$4-'тариф и РС'!$I$5)*население!K7</f>
        <v>0</v>
      </c>
      <c r="M4" s="159">
        <f>('тариф и РС'!$I$4-'тариф и РС'!$I$5)*население!L7</f>
        <v>76391.76769420001</v>
      </c>
      <c r="N4" s="160">
        <f>('тариф и РС'!$I$4-'тариф и РС'!$I$5)*население!M7</f>
        <v>113071.64008</v>
      </c>
      <c r="O4" s="159">
        <f>('тариф и РС'!$I$4-'тариф и РС'!$I$5)*население!N7</f>
        <v>152217.55612000002</v>
      </c>
      <c r="P4" s="94">
        <f>C4+D4+E4+F4+G4+H4+J4+K4+L4+M4+N4+O4</f>
        <v>722104.6809672001</v>
      </c>
    </row>
    <row r="5" spans="1:16" ht="11.25" customHeight="1" thickBot="1">
      <c r="A5" s="134"/>
      <c r="B5" s="122">
        <v>1111.08</v>
      </c>
      <c r="C5" s="159"/>
      <c r="D5" s="160"/>
      <c r="E5" s="160"/>
      <c r="F5" s="160"/>
      <c r="G5" s="160"/>
      <c r="H5" s="160"/>
      <c r="I5" s="167">
        <v>1244.41</v>
      </c>
      <c r="J5" s="159"/>
      <c r="K5" s="161"/>
      <c r="L5" s="2"/>
      <c r="M5" s="3"/>
      <c r="N5" s="2"/>
      <c r="O5" s="3"/>
      <c r="P5" s="94"/>
    </row>
    <row r="6" spans="1:16" ht="33" customHeight="1" thickBot="1">
      <c r="A6" s="134" t="s">
        <v>34</v>
      </c>
      <c r="B6" s="122">
        <v>3367.57</v>
      </c>
      <c r="C6" s="161">
        <f>('тариф и РС'!$B$6-'тариф и РС'!$B$7)*население!C9</f>
        <v>183477.232741</v>
      </c>
      <c r="D6" s="161">
        <f>('тариф и РС'!$B$6-'тариф и РС'!$B$7)*население!D9</f>
        <v>178770.42025</v>
      </c>
      <c r="E6" s="161">
        <f>('тариф и РС'!$B$6-'тариф и РС'!$B$7)*население!E9</f>
        <v>162986.27270000003</v>
      </c>
      <c r="F6" s="161">
        <f>('тариф и РС'!$B$6-'тариф и РС'!$B$7)*население!F9</f>
        <v>99308.12490000001</v>
      </c>
      <c r="G6" s="161">
        <f>('тариф и РС'!$B$6-'тариф и РС'!$B$7)*население!G9</f>
        <v>0</v>
      </c>
      <c r="H6" s="161">
        <f>('тариф и РС'!$B$6-'тариф и РС'!$B$7)*население!H9</f>
        <v>0</v>
      </c>
      <c r="I6" s="168">
        <v>4276.62</v>
      </c>
      <c r="J6" s="159">
        <f>('тариф и РС'!$I$6-'тариф и РС'!$I$7)*население!I9</f>
        <v>0</v>
      </c>
      <c r="K6" s="159">
        <f>('тариф и РС'!$I$6-'тариф и РС'!$I$7)*население!J9</f>
        <v>0</v>
      </c>
      <c r="L6" s="159">
        <f>('тариф и РС'!$I$6-'тариф и РС'!$I$7)*население!K9</f>
        <v>0</v>
      </c>
      <c r="M6" s="159">
        <f>('тариф и РС'!$I$6-'тариф и РС'!$I$7)*население!L9</f>
        <v>117126.16113825</v>
      </c>
      <c r="N6" s="159">
        <f>('тариф и РС'!$I$6-'тариф и РС'!$I$7)*население!M9</f>
        <v>173406.02548</v>
      </c>
      <c r="O6" s="159">
        <f>('тариф и РС'!$I$6-'тариф и РС'!$I$7)*население!N9</f>
        <v>233461.97674</v>
      </c>
      <c r="P6" s="94">
        <f>C6+D6+E6+F6+G6+H6+J6+K6+L6+M6+N6+O6</f>
        <v>1148536.21394925</v>
      </c>
    </row>
    <row r="7" spans="1:16" ht="11.25" customHeight="1" thickBot="1">
      <c r="A7" s="144"/>
      <c r="B7" s="122">
        <v>1111.08</v>
      </c>
      <c r="C7" s="159"/>
      <c r="D7" s="159"/>
      <c r="E7" s="159"/>
      <c r="F7" s="159"/>
      <c r="G7" s="159"/>
      <c r="H7" s="159"/>
      <c r="I7" s="168">
        <v>1244.41</v>
      </c>
      <c r="J7" s="159"/>
      <c r="K7" s="159"/>
      <c r="L7" s="159"/>
      <c r="M7" s="159"/>
      <c r="N7" s="159"/>
      <c r="O7" s="159"/>
      <c r="P7" s="94"/>
    </row>
    <row r="8" spans="1:16" ht="13.5" customHeight="1" thickBot="1">
      <c r="A8" s="145" t="s">
        <v>2</v>
      </c>
      <c r="B8" s="123">
        <v>1287.94</v>
      </c>
      <c r="C8" s="160">
        <f>('тариф и РС'!$B$8-'тариф и РС'!$B$9)*население!C11</f>
        <v>294606.3136000002</v>
      </c>
      <c r="D8" s="160">
        <f>('тариф и РС'!$B$8-'тариф и РС'!$B$9)*население!D11</f>
        <v>286529.11740000016</v>
      </c>
      <c r="E8" s="160">
        <f>('тариф и РС'!$B$8-'тариф и РС'!$B$9)*население!E11</f>
        <v>263058.0268000002</v>
      </c>
      <c r="F8" s="160">
        <f>('тариф и РС'!$B$8-'тариф и РС'!$B$9)*население!F11</f>
        <v>159426.9098000001</v>
      </c>
      <c r="G8" s="160">
        <f>('тариф и РС'!$B$8-'тариф и РС'!$B$9)*население!G11</f>
        <v>-4.952080000000004</v>
      </c>
      <c r="H8" s="160">
        <f>('тариф и РС'!$B$8-'тариф и РС'!$B$9)*население!H11</f>
        <v>0</v>
      </c>
      <c r="I8" s="168">
        <v>1447.84</v>
      </c>
      <c r="J8" s="159">
        <f>('тариф и РС'!$I$8-'тариф и РС'!$I$9)*население!I11</f>
        <v>0</v>
      </c>
      <c r="K8" s="159">
        <f>('тариф и РС'!$I$8-'тариф и РС'!$I$9)*население!J11</f>
        <v>0</v>
      </c>
      <c r="L8" s="159">
        <f>('тариф и РС'!$I$8-'тариф и РС'!$I$9)*население!K11</f>
        <v>0</v>
      </c>
      <c r="M8" s="159">
        <f>('тариф и РС'!$I$8-'тариф и РС'!$I$9)*население!L11</f>
        <v>36350.49983999997</v>
      </c>
      <c r="N8" s="159">
        <f>('тариф и РС'!$I$8-'тариф и РС'!$I$9)*население!M11</f>
        <v>0</v>
      </c>
      <c r="O8" s="159">
        <f>('тариф и РС'!$I$8-'тариф и РС'!$I$9)*население!N11</f>
        <v>0</v>
      </c>
      <c r="P8" s="94">
        <f>C8+D8+E8+F8+G8+H8+J8+K8+L8+M8+N8+O8</f>
        <v>1039965.9153600007</v>
      </c>
    </row>
    <row r="9" spans="1:16" ht="10.5" customHeight="1">
      <c r="A9" s="145"/>
      <c r="B9" s="123">
        <v>1111.08</v>
      </c>
      <c r="C9" s="159"/>
      <c r="D9" s="159"/>
      <c r="E9" s="159"/>
      <c r="F9" s="159"/>
      <c r="G9" s="159"/>
      <c r="H9" s="159"/>
      <c r="I9" s="168">
        <v>1244.41</v>
      </c>
      <c r="J9" s="159"/>
      <c r="K9" s="159"/>
      <c r="L9" s="159"/>
      <c r="M9" s="159"/>
      <c r="N9" s="219"/>
      <c r="O9" s="218"/>
      <c r="P9" s="94"/>
    </row>
    <row r="10" spans="1:16" ht="21" customHeight="1">
      <c r="A10" s="15" t="s">
        <v>39</v>
      </c>
      <c r="B10" s="31"/>
      <c r="C10" s="31"/>
      <c r="D10" s="31"/>
      <c r="E10" s="31"/>
      <c r="F10" s="31"/>
      <c r="G10" s="31"/>
      <c r="H10" s="31"/>
      <c r="I10" s="31">
        <v>1721.61</v>
      </c>
      <c r="J10" s="31"/>
      <c r="K10" s="31"/>
      <c r="L10" s="45"/>
      <c r="M10" s="218">
        <f>('тариф и РС'!$I$10-'тариф и РС'!$I$11)*население!L13</f>
        <v>292354.1939999999</v>
      </c>
      <c r="N10" s="218">
        <f>('тариф и РС'!$I$10-'тариф и РС'!$I$11)*население!M13</f>
        <v>532445.9211999997</v>
      </c>
      <c r="O10" s="218">
        <f>('тариф и РС'!$I$10-'тариф и РС'!$I$11)*население!N13</f>
        <v>752573.0319999997</v>
      </c>
      <c r="P10" s="259">
        <f>M10+N10+O10</f>
        <v>1577373.1471999993</v>
      </c>
    </row>
    <row r="11" spans="1:16" ht="13.5" thickBot="1">
      <c r="A11" s="15"/>
      <c r="B11" s="45"/>
      <c r="C11" s="45"/>
      <c r="D11" s="45"/>
      <c r="E11" s="45"/>
      <c r="F11" s="45"/>
      <c r="G11" s="45"/>
      <c r="H11" s="45"/>
      <c r="I11" s="45">
        <v>1244.41</v>
      </c>
      <c r="J11" s="45"/>
      <c r="K11" s="45"/>
      <c r="L11" s="31"/>
      <c r="M11" s="71"/>
      <c r="N11" s="188"/>
      <c r="O11" s="208"/>
      <c r="P11" s="221"/>
    </row>
    <row r="12" spans="1:16" ht="31.5" customHeight="1" thickBot="1">
      <c r="A12" s="145" t="s">
        <v>3</v>
      </c>
      <c r="B12" s="123">
        <v>1402.65</v>
      </c>
      <c r="C12" s="160">
        <f>('тариф и РС'!$B$12-'тариф и РС'!$B$13)*население!C15</f>
        <v>4404.456420000002</v>
      </c>
      <c r="D12" s="160">
        <f>('тариф и РС'!$B$12-'тариф и РС'!$B$13)*население!D15</f>
        <v>4413.495090000002</v>
      </c>
      <c r="E12" s="160">
        <f>('тариф и РС'!$B$12-'тариф и РС'!$B$13)*население!E15</f>
        <v>4044.075900000002</v>
      </c>
      <c r="F12" s="160">
        <f>('тариф и РС'!$B$12-'тариф и РС'!$B$13)*население!F15</f>
        <v>2452.1037000000015</v>
      </c>
      <c r="G12" s="160">
        <f>('тариф и РС'!$B$12-'тариф и РС'!$B$13)*население!G15</f>
        <v>0</v>
      </c>
      <c r="H12" s="160">
        <f>('тариф и РС'!$B$12-'тариф и РС'!$B$13)*население!H15</f>
        <v>0</v>
      </c>
      <c r="I12" s="168">
        <v>1524.94</v>
      </c>
      <c r="J12" s="159">
        <f>('тариф и РС'!$I$12-'тариф и РС'!$I$13)*население!I15</f>
        <v>0</v>
      </c>
      <c r="K12" s="159">
        <f>('тариф и РС'!$I$12-'тариф и РС'!$I$13)*население!J15</f>
        <v>0</v>
      </c>
      <c r="L12" s="159">
        <f>('тариф и РС'!$I$12-'тариф и РС'!$I$13)*население!K15</f>
        <v>0</v>
      </c>
      <c r="M12" s="159">
        <f>('тариф и РС'!$I$12-'тариф и РС'!$I$13)*население!L15</f>
        <v>2069.6269067999997</v>
      </c>
      <c r="N12" s="159">
        <f>('тариф и РС'!$I$12-'тариф и РС'!$I$13)*население!M15</f>
        <v>3166.0615799999996</v>
      </c>
      <c r="O12" s="159">
        <f>('тариф и РС'!$I$12-'тариф и РС'!$I$13)*население!N15</f>
        <v>4262.65335</v>
      </c>
      <c r="P12" s="94">
        <f>C12+D12+E12+F12+G12+H12+J12+K12+L12+M12+N12+O12</f>
        <v>24812.472946800008</v>
      </c>
    </row>
    <row r="13" spans="1:16" ht="10.5" customHeight="1" thickBot="1">
      <c r="A13" s="145"/>
      <c r="B13" s="123">
        <v>1111.08</v>
      </c>
      <c r="C13" s="159"/>
      <c r="D13" s="159"/>
      <c r="E13" s="159"/>
      <c r="F13" s="159"/>
      <c r="G13" s="159"/>
      <c r="H13" s="159"/>
      <c r="I13" s="168">
        <v>1244.41</v>
      </c>
      <c r="J13" s="159"/>
      <c r="K13" s="159"/>
      <c r="L13" s="159"/>
      <c r="M13" s="159"/>
      <c r="N13" s="159"/>
      <c r="O13" s="159"/>
      <c r="P13" s="94"/>
    </row>
    <row r="14" spans="1:16" ht="13.5" thickBot="1">
      <c r="A14" s="145" t="s">
        <v>4</v>
      </c>
      <c r="B14" s="123">
        <v>2288.2</v>
      </c>
      <c r="C14" s="160">
        <f>('тариф и РС'!$B$14-'тариф и РС'!$B$15)*население!C17</f>
        <v>10205206.636799999</v>
      </c>
      <c r="D14" s="160">
        <f>('тариф и РС'!$B$14-'тариф и РС'!$B$15)*население!D17</f>
        <v>9947087.7632</v>
      </c>
      <c r="E14" s="160">
        <f>('тариф и РС'!$B$14-'тариф и РС'!$B$15)*население!E17</f>
        <v>9108236.737599999</v>
      </c>
      <c r="F14" s="160">
        <f>('тариф и РС'!$B$14-'тариф и РС'!$B$15)*население!F17</f>
        <v>5552251.3872</v>
      </c>
      <c r="G14" s="160">
        <f>('тариф и РС'!$B$14-'тариф и РС'!$B$15)*население!G17</f>
        <v>3492.5150399999998</v>
      </c>
      <c r="H14" s="160">
        <f>('тариф и РС'!$B$14-'тариф и РС'!$B$15)*население!H17</f>
        <v>0</v>
      </c>
      <c r="I14" s="168">
        <v>2682.32</v>
      </c>
      <c r="J14" s="159">
        <f>('тариф и РС'!$I$14-'тариф и РС'!$I$15)*население!I17</f>
        <v>0</v>
      </c>
      <c r="K14" s="159">
        <f>('тариф и РС'!$I$14-'тариф и РС'!$I$15)*население!J17</f>
        <v>0</v>
      </c>
      <c r="L14" s="159">
        <f>('тариф и РС'!$I$14-'тариф и РС'!$I$15)*население!K17</f>
        <v>0</v>
      </c>
      <c r="M14" s="159">
        <f>('тариф и РС'!$I$14-'тариф и РС'!$I$15)*население!L17</f>
        <v>5875809.711513001</v>
      </c>
      <c r="N14" s="159">
        <f>('тариф и РС'!$I$14-'тариф и РС'!$I$15)*население!M17</f>
        <v>8776932.18241</v>
      </c>
      <c r="O14" s="159">
        <f>('тариф и РС'!$I$14-'тариф и РС'!$I$15)*население!N17</f>
        <v>11808536.78972</v>
      </c>
      <c r="P14" s="94">
        <f>C14+D14+E14+F14+G14+H14+J14+K14+L14+M14+N14+O14</f>
        <v>61277553.723482996</v>
      </c>
    </row>
    <row r="15" spans="1:18" ht="11.25" customHeight="1" thickBot="1">
      <c r="A15" s="145"/>
      <c r="B15" s="123">
        <v>1111.08</v>
      </c>
      <c r="C15" s="159"/>
      <c r="D15" s="159"/>
      <c r="E15" s="159"/>
      <c r="F15" s="159"/>
      <c r="G15" s="159"/>
      <c r="H15" s="159"/>
      <c r="I15" s="168">
        <v>1244.41</v>
      </c>
      <c r="J15" s="159"/>
      <c r="K15" s="159"/>
      <c r="L15" s="159"/>
      <c r="M15" s="159"/>
      <c r="N15" s="159"/>
      <c r="O15" s="159"/>
      <c r="P15" s="94"/>
      <c r="R15" s="42">
        <f>ПОСТАВЩИК!C7*'тариф и РС'!$B$4-население!C8</f>
        <v>109000.05040000001</v>
      </c>
    </row>
    <row r="16" spans="1:16" ht="23.25" customHeight="1" thickBot="1">
      <c r="A16" s="146" t="s">
        <v>31</v>
      </c>
      <c r="B16" s="123">
        <v>2227.45</v>
      </c>
      <c r="C16" s="160">
        <f>('тариф и РС'!$B$16-'тариф и РС'!$B$17)*население!C19</f>
        <v>159217.69413299998</v>
      </c>
      <c r="D16" s="160">
        <f>('тариф и РС'!$B$16-'тариф и РС'!$B$17)*население!D19</f>
        <v>154843.86810999998</v>
      </c>
      <c r="E16" s="160">
        <f>('тариф и РС'!$B$16-'тариф и РС'!$B$17)*население!E19</f>
        <v>141879.4633</v>
      </c>
      <c r="F16" s="160">
        <f>('тариф и РС'!$B$16-'тариф и РС'!$B$17)*население!F19</f>
        <v>85301.83169999998</v>
      </c>
      <c r="G16" s="160">
        <f>('тариф и РС'!$B$16-'тариф и РС'!$B$17)*население!G19</f>
        <v>0</v>
      </c>
      <c r="H16" s="160">
        <f>('тариф и РС'!$B$16-'тариф и РС'!$B$17)*население!H19</f>
        <v>0</v>
      </c>
      <c r="I16" s="168">
        <v>2630.16</v>
      </c>
      <c r="J16" s="159">
        <f>('тариф и РС'!$I$16-'тариф и РС'!$I$17)*население!I19</f>
        <v>0</v>
      </c>
      <c r="K16" s="159">
        <f>('тариф и РС'!$I$16-'тариф и РС'!$I$17)*население!J19</f>
        <v>0</v>
      </c>
      <c r="L16" s="159">
        <f>('тариф и РС'!$I$16-'тариф и РС'!$I$17)*население!K19</f>
        <v>0</v>
      </c>
      <c r="M16" s="159">
        <f>('тариф и РС'!$I$16-'тариф и РС'!$I$17)*население!L19</f>
        <v>91146.32049999999</v>
      </c>
      <c r="N16" s="159">
        <f>('тариф и РС'!$I$16-'тариф и РС'!$I$17)*население!M19</f>
        <v>138295.07849999997</v>
      </c>
      <c r="O16" s="159">
        <f>('тариф и РС'!$I$16-'тариф и РС'!$I$17)*население!N19</f>
        <v>189959.99574999994</v>
      </c>
      <c r="P16" s="94">
        <f>C16+D16+E16+F16+G16+H16+J16+K16+L16+M16+N16+O16</f>
        <v>960644.2519929998</v>
      </c>
    </row>
    <row r="17" spans="1:16" ht="10.5" customHeight="1" thickBot="1">
      <c r="A17" s="145"/>
      <c r="B17" s="123">
        <v>1111.08</v>
      </c>
      <c r="C17" s="159"/>
      <c r="D17" s="159"/>
      <c r="E17" s="159"/>
      <c r="F17" s="159"/>
      <c r="G17" s="159"/>
      <c r="H17" s="159"/>
      <c r="I17" s="168">
        <v>1244.41</v>
      </c>
      <c r="J17" s="159"/>
      <c r="K17" s="159"/>
      <c r="L17" s="159"/>
      <c r="M17" s="159"/>
      <c r="N17" s="159"/>
      <c r="O17" s="159"/>
      <c r="P17" s="94"/>
    </row>
    <row r="18" spans="1:16" ht="24.75" customHeight="1" thickBot="1">
      <c r="A18" s="145" t="s">
        <v>5</v>
      </c>
      <c r="B18" s="123">
        <v>1523.82</v>
      </c>
      <c r="C18" s="160">
        <f>('тариф и РС'!$B$18-'тариф и РС'!$B$19)*население!C21</f>
        <v>100574.00676</v>
      </c>
      <c r="D18" s="160">
        <f>('тариф и РС'!$B$18-'тариф и РС'!$B$19)*население!D21</f>
        <v>97986.044412</v>
      </c>
      <c r="E18" s="160">
        <f>('тариф и РС'!$B$18-'тариф и РС'!$B$19)*население!E21</f>
        <v>89803.9692</v>
      </c>
      <c r="F18" s="160">
        <f>('тариф и РС'!$B$18-'тариф и РС'!$B$19)*население!F21</f>
        <v>54428.0238</v>
      </c>
      <c r="G18" s="160">
        <f>('тариф и РС'!$B$18-'тариф и РС'!$B$19)*население!G21</f>
        <v>0</v>
      </c>
      <c r="H18" s="160">
        <f>('тариф и РС'!$B$18-'тариф и РС'!$B$19)*население!H21</f>
        <v>0</v>
      </c>
      <c r="I18" s="168">
        <v>1664.35</v>
      </c>
      <c r="J18" s="159">
        <f>('тариф и РС'!$I$18-'тариф и РС'!$I$19)*население!I21</f>
        <v>0</v>
      </c>
      <c r="K18" s="159">
        <f>('тариф и РС'!$I$18-'тариф и РС'!$I$19)*население!J21</f>
        <v>0</v>
      </c>
      <c r="L18" s="159">
        <f>('тариф и РС'!$I$18-'тариф и РС'!$I$19)*население!K21</f>
        <v>0</v>
      </c>
      <c r="M18" s="159">
        <f>('тариф и РС'!$I$18-'тариф и РС'!$I$19)*население!L21</f>
        <v>47052.59723999998</v>
      </c>
      <c r="N18" s="159">
        <f>('тариф и РС'!$I$18-'тариф и РС'!$I$19)*население!M21</f>
        <v>71966.37761999997</v>
      </c>
      <c r="O18" s="159">
        <f>('тариф и РС'!$I$18-'тариф и РС'!$I$19)*население!N21</f>
        <v>96900.31511999996</v>
      </c>
      <c r="P18" s="94">
        <f>C18+D18+E18+F18+G18+H18+J18+K18+L18+M18+N18+O18</f>
        <v>558711.3341519999</v>
      </c>
    </row>
    <row r="19" spans="1:16" ht="12" customHeight="1" thickBot="1">
      <c r="A19" s="145"/>
      <c r="B19" s="123">
        <v>1111.08</v>
      </c>
      <c r="C19" s="159"/>
      <c r="D19" s="159"/>
      <c r="E19" s="159"/>
      <c r="F19" s="159"/>
      <c r="G19" s="159"/>
      <c r="H19" s="159"/>
      <c r="I19" s="168">
        <v>1244.41</v>
      </c>
      <c r="J19" s="159"/>
      <c r="K19" s="159"/>
      <c r="L19" s="159"/>
      <c r="M19" s="159"/>
      <c r="N19" s="159"/>
      <c r="O19" s="159"/>
      <c r="P19" s="94"/>
    </row>
    <row r="20" spans="1:16" ht="13.5" thickBot="1">
      <c r="A20" s="145" t="s">
        <v>6</v>
      </c>
      <c r="B20" s="124">
        <v>1111.08</v>
      </c>
      <c r="C20" s="159"/>
      <c r="D20" s="159"/>
      <c r="E20" s="159"/>
      <c r="F20" s="159"/>
      <c r="G20" s="159"/>
      <c r="H20" s="159"/>
      <c r="I20" s="168">
        <v>1244.41</v>
      </c>
      <c r="J20" s="159">
        <f>('тариф и РС'!$I$20-'тариф и РС'!$I$21)*население!I23</f>
        <v>0</v>
      </c>
      <c r="K20" s="159">
        <f>('тариф и РС'!$I$20-'тариф и РС'!$I$21)*население!J23</f>
        <v>0</v>
      </c>
      <c r="L20" s="159">
        <f>('тариф и РС'!$I$20-'тариф и РС'!$I$21)*население!K23</f>
        <v>0</v>
      </c>
      <c r="M20" s="159">
        <f>('тариф и РС'!$I$20-'тариф и РС'!$I$21)*население!L23</f>
        <v>0</v>
      </c>
      <c r="N20" s="159">
        <f>('тариф и РС'!$I$20-'тариф и РС'!$I$21)*население!M23</f>
        <v>0</v>
      </c>
      <c r="O20" s="159">
        <f>('тариф и РС'!$I$20-'тариф и РС'!$I$21)*население!N23</f>
        <v>0</v>
      </c>
      <c r="P20" s="94">
        <f>C20+D20+E20+F20+G20+H20+J20+K20+L20+M20+N20+O20</f>
        <v>0</v>
      </c>
    </row>
    <row r="21" spans="1:16" ht="11.25" customHeight="1" thickBot="1">
      <c r="A21" s="147"/>
      <c r="B21" s="125">
        <v>1111.08</v>
      </c>
      <c r="C21" s="159"/>
      <c r="D21" s="159"/>
      <c r="E21" s="159"/>
      <c r="F21" s="159"/>
      <c r="G21" s="159"/>
      <c r="H21" s="159"/>
      <c r="I21" s="169">
        <v>1244.41</v>
      </c>
      <c r="J21" s="159"/>
      <c r="K21" s="159"/>
      <c r="L21" s="159"/>
      <c r="M21" s="159"/>
      <c r="N21" s="159"/>
      <c r="O21" s="159"/>
      <c r="P21" s="94"/>
    </row>
    <row r="22" spans="1:16" ht="13.5" thickBot="1">
      <c r="A22" s="148" t="s">
        <v>7</v>
      </c>
      <c r="B22" s="123">
        <v>1111.08</v>
      </c>
      <c r="C22" s="159"/>
      <c r="D22" s="159"/>
      <c r="E22" s="159"/>
      <c r="F22" s="159"/>
      <c r="G22" s="162"/>
      <c r="H22" s="159"/>
      <c r="I22" s="168">
        <v>1244.41</v>
      </c>
      <c r="J22" s="159" t="e">
        <f>('тариф и РС'!$I$22-'тариф и РС'!$I$23)*население!#REF!</f>
        <v>#REF!</v>
      </c>
      <c r="K22" s="159" t="e">
        <f>('тариф и РС'!$I$22-'тариф и РС'!$I$23)*население!#REF!</f>
        <v>#REF!</v>
      </c>
      <c r="L22" s="159" t="e">
        <f>('тариф и РС'!$I$22-'тариф и РС'!$I$23)*население!#REF!</f>
        <v>#REF!</v>
      </c>
      <c r="M22" s="159" t="e">
        <f>('тариф и РС'!$I$22-'тариф и РС'!$I$23)*население!#REF!</f>
        <v>#REF!</v>
      </c>
      <c r="N22" s="159" t="e">
        <f>('тариф и РС'!$I$22-'тариф и РС'!$I$23)*население!#REF!</f>
        <v>#REF!</v>
      </c>
      <c r="O22" s="159" t="e">
        <f>('тариф и РС'!$I$22-'тариф и РС'!$I$23)*население!#REF!</f>
        <v>#REF!</v>
      </c>
      <c r="P22" s="94" t="e">
        <f>C22+D22+E22+F22+G22+H22+J22+K22+L22+M22+N22+O22</f>
        <v>#REF!</v>
      </c>
    </row>
    <row r="23" spans="1:16" ht="11.25" customHeight="1" thickBot="1">
      <c r="A23" s="145"/>
      <c r="B23" s="126">
        <v>1111.08</v>
      </c>
      <c r="C23" s="159"/>
      <c r="D23" s="159"/>
      <c r="E23" s="159"/>
      <c r="F23" s="159"/>
      <c r="G23" s="159"/>
      <c r="H23" s="159"/>
      <c r="I23" s="167">
        <v>1244.41</v>
      </c>
      <c r="J23" s="159"/>
      <c r="K23" s="159"/>
      <c r="L23" s="159"/>
      <c r="M23" s="159"/>
      <c r="N23" s="159"/>
      <c r="O23" s="159"/>
      <c r="P23" s="94"/>
    </row>
    <row r="24" spans="1:16" ht="13.5" thickBot="1">
      <c r="A24" s="145" t="s">
        <v>8</v>
      </c>
      <c r="B24" s="127">
        <v>1368.34</v>
      </c>
      <c r="C24" s="160">
        <f>('тариф и РС'!$B$24-'тариф и РС'!$B$25)*население!C25</f>
        <v>1095981.6246</v>
      </c>
      <c r="D24" s="160">
        <f>('тариф и РС'!$B$24-'тариф и РС'!$B$25)*население!D25</f>
        <v>1066175.4810000001</v>
      </c>
      <c r="E24" s="160">
        <f>('тариф и РС'!$B$24-'тариф и РС'!$B$25)*население!E25</f>
        <v>978038.205</v>
      </c>
      <c r="F24" s="160">
        <f>('тариф и РС'!$B$24-'тариф и РС'!$B$25)*население!F25</f>
        <v>592765.629</v>
      </c>
      <c r="G24" s="160">
        <f>('тариф и РС'!$B$24-'тариф и РС'!$B$25)*население!G25</f>
        <v>-117.0533</v>
      </c>
      <c r="H24" s="160">
        <f>('тариф и РС'!$B$24-'тариф и РС'!$B$25)*население!H25</f>
        <v>0</v>
      </c>
      <c r="I24" s="167">
        <v>1602.62</v>
      </c>
      <c r="J24" s="159">
        <f>('тариф и РС'!$I$24-'тариф и РС'!$I$25)*население!I25</f>
        <v>0</v>
      </c>
      <c r="K24" s="159">
        <f>('тариф и РС'!$I$24-'тариф и РС'!$I$25)*население!J25</f>
        <v>0</v>
      </c>
      <c r="L24" s="159">
        <f>('тариф и РС'!$I$24-'тариф и РС'!$I$25)*население!K25</f>
        <v>0</v>
      </c>
      <c r="M24" s="159">
        <f>('тариф и РС'!$I$24-'тариф и РС'!$I$25)*население!L25</f>
        <v>698692.5453099996</v>
      </c>
      <c r="N24" s="159">
        <f>('тариф и РС'!$I$24-'тариф и РС'!$I$25)*население!M25</f>
        <v>1068279.2949099995</v>
      </c>
      <c r="O24" s="159">
        <f>('тариф и РС'!$I$24-'тариф и РС'!$I$25)*население!N25</f>
        <v>1435752.2472999992</v>
      </c>
      <c r="P24" s="95">
        <f>C24+D24+E24+F24+G24+H24+J24+K24+L24+M24+N24+O24</f>
        <v>6935567.973819999</v>
      </c>
    </row>
    <row r="25" spans="1:16" ht="11.25" customHeight="1" thickBot="1">
      <c r="A25" s="135"/>
      <c r="B25" s="135">
        <v>1111.08</v>
      </c>
      <c r="C25" s="51"/>
      <c r="D25" s="54"/>
      <c r="E25" s="54"/>
      <c r="F25" s="54"/>
      <c r="G25" s="54"/>
      <c r="H25" s="54"/>
      <c r="I25" s="168">
        <v>1244.41</v>
      </c>
      <c r="J25" s="174"/>
      <c r="K25" s="174"/>
      <c r="L25" s="174"/>
      <c r="M25" s="174"/>
      <c r="N25" s="170"/>
      <c r="O25" s="170"/>
      <c r="P25" s="95"/>
    </row>
    <row r="26" spans="1:16" ht="34.5" thickBot="1">
      <c r="A26" s="201" t="s">
        <v>37</v>
      </c>
      <c r="B26" s="75"/>
      <c r="C26" s="75"/>
      <c r="D26" s="75"/>
      <c r="E26" s="75"/>
      <c r="F26" s="116"/>
      <c r="G26" s="75"/>
      <c r="H26" s="75"/>
      <c r="I26" s="75">
        <v>1131.5</v>
      </c>
      <c r="J26" s="75"/>
      <c r="K26" s="116"/>
      <c r="L26" s="75"/>
      <c r="M26" s="215">
        <f>('тариф и РС'!$I$26-'тариф и РС'!$I$27)*население!L27</f>
        <v>188.47728180000115</v>
      </c>
      <c r="N26" s="215">
        <f>('тариф и РС'!$I$26-'тариф и РС'!$I$27)*население!M27</f>
        <v>288.3686400000018</v>
      </c>
      <c r="O26" s="215">
        <f>('тариф и РС'!$I$26-'тариф и РС'!$I$27)*население!N27</f>
        <v>388.2552600000024</v>
      </c>
      <c r="P26" s="95">
        <f>M26+N26+O26</f>
        <v>865.1011818000054</v>
      </c>
    </row>
    <row r="27" spans="1:18" ht="13.5" thickBot="1">
      <c r="A27" s="18"/>
      <c r="B27" s="43"/>
      <c r="C27" s="43"/>
      <c r="D27" s="43"/>
      <c r="E27" s="43"/>
      <c r="F27" s="43"/>
      <c r="G27" s="43"/>
      <c r="H27" s="43"/>
      <c r="I27" s="43">
        <v>1122.56</v>
      </c>
      <c r="J27" s="43"/>
      <c r="K27" s="43"/>
      <c r="L27" s="43"/>
      <c r="M27" s="216"/>
      <c r="N27" s="189"/>
      <c r="O27" s="208"/>
      <c r="P27" s="95"/>
      <c r="R27" s="20"/>
    </row>
    <row r="28" spans="1:16" ht="23.25" thickBot="1">
      <c r="A28" s="15" t="s">
        <v>38</v>
      </c>
      <c r="B28" s="75"/>
      <c r="C28" s="75"/>
      <c r="D28" s="75"/>
      <c r="E28" s="75"/>
      <c r="F28" s="116"/>
      <c r="G28" s="75"/>
      <c r="H28" s="75"/>
      <c r="I28" s="75">
        <v>1488.64</v>
      </c>
      <c r="J28" s="75"/>
      <c r="K28" s="116"/>
      <c r="L28" s="75"/>
      <c r="M28" s="215">
        <f>('тариф и РС'!$I$28-'тариф и РС'!$I$29)*население!L29</f>
        <v>40679.90784000002</v>
      </c>
      <c r="N28" s="215">
        <f>('тариф и РС'!$I$28-'тариф и РС'!$I$29)*население!M29</f>
        <v>62239.457280000024</v>
      </c>
      <c r="O28" s="215">
        <f>('тариф и РС'!$I$28-'тариф и РС'!$I$29)*население!N29</f>
        <v>83799.00672000003</v>
      </c>
      <c r="P28" s="95">
        <f>M28+N28+O28</f>
        <v>186718.3718400001</v>
      </c>
    </row>
    <row r="29" spans="1:18" ht="13.5" thickBot="1">
      <c r="A29" s="18"/>
      <c r="B29" s="78"/>
      <c r="C29" s="78"/>
      <c r="D29" s="78"/>
      <c r="E29" s="78"/>
      <c r="F29" s="78"/>
      <c r="G29" s="78"/>
      <c r="H29" s="78"/>
      <c r="I29" s="78">
        <v>1122.56</v>
      </c>
      <c r="J29" s="78"/>
      <c r="K29" s="43"/>
      <c r="L29" s="78"/>
      <c r="M29" s="210"/>
      <c r="N29" s="217"/>
      <c r="O29" s="208"/>
      <c r="P29" s="95"/>
      <c r="R29" s="20"/>
    </row>
    <row r="30" spans="1:16" ht="16.5" customHeight="1" thickBot="1">
      <c r="A30" s="149" t="s">
        <v>21</v>
      </c>
      <c r="B30" s="37"/>
      <c r="C30" s="4">
        <f aca="true" t="shared" si="1" ref="C30:H30">C32+C34+C38+C40+C42+C44</f>
        <v>1708458.3551000005</v>
      </c>
      <c r="D30" s="4">
        <f t="shared" si="1"/>
        <v>1603649.9164297166</v>
      </c>
      <c r="E30" s="4">
        <f t="shared" si="1"/>
        <v>1610527.7315098555</v>
      </c>
      <c r="F30" s="48">
        <f t="shared" si="1"/>
        <v>1539376.1345000002</v>
      </c>
      <c r="G30" s="48">
        <f t="shared" si="1"/>
        <v>1178575.77489</v>
      </c>
      <c r="H30" s="48">
        <f t="shared" si="1"/>
        <v>972593.0392693848</v>
      </c>
      <c r="I30" s="178"/>
      <c r="J30" s="171">
        <f aca="true" t="shared" si="2" ref="J30:O30">J32+J34+J38+J40+J42+J44</f>
        <v>781351.55569</v>
      </c>
      <c r="K30" s="171">
        <f t="shared" si="2"/>
        <v>1126271.23997</v>
      </c>
      <c r="L30" s="171">
        <f t="shared" si="2"/>
        <v>1309496.5033200001</v>
      </c>
      <c r="M30" s="171">
        <f>M32+M34+M38+M40+M42+M44+M36+M46</f>
        <v>1872416.4576499995</v>
      </c>
      <c r="N30" s="48">
        <f>N32+N34+N38+N40+N42+N44+N36+N46</f>
        <v>1917389.9684199998</v>
      </c>
      <c r="O30" s="91">
        <f t="shared" si="2"/>
        <v>1855831.7316100004</v>
      </c>
      <c r="P30" s="93">
        <f>C30+D30+E30+F30+G30+H30+J30+K30+L30+M30+N30+O30</f>
        <v>17475938.408358958</v>
      </c>
    </row>
    <row r="31" spans="1:16" s="20" customFormat="1" ht="8.25" customHeight="1" thickBot="1">
      <c r="A31" s="133"/>
      <c r="B31" s="16"/>
      <c r="C31" s="48"/>
      <c r="D31" s="48"/>
      <c r="E31" s="48"/>
      <c r="F31" s="48"/>
      <c r="G31" s="48"/>
      <c r="H31" s="48"/>
      <c r="I31" s="179"/>
      <c r="J31" s="171"/>
      <c r="K31" s="171"/>
      <c r="L31" s="171"/>
      <c r="M31" s="171"/>
      <c r="N31" s="48"/>
      <c r="O31" s="91"/>
      <c r="P31" s="93"/>
    </row>
    <row r="32" spans="1:16" ht="31.5" customHeight="1" thickBot="1">
      <c r="A32" s="134" t="s">
        <v>34</v>
      </c>
      <c r="B32" s="121">
        <v>205.96</v>
      </c>
      <c r="C32" s="163">
        <f>('тариф и РС'!$B$32-'тариф и РС'!$B$33)*ПОСТАВЩИК!C33</f>
        <v>42363.916000000005</v>
      </c>
      <c r="D32" s="160">
        <f>('тариф и РС'!$B$32-'тариф и РС'!$B$33)*население!D33</f>
        <v>39004</v>
      </c>
      <c r="E32" s="160">
        <f>('тариф и РС'!$B$32-'тариф и РС'!$B$33)*население!E33</f>
        <v>38303.321</v>
      </c>
      <c r="F32" s="160">
        <f>('тариф и РС'!$B$32-'тариф и РС'!$B$33)*население!F33</f>
        <v>37488.416000000005</v>
      </c>
      <c r="G32" s="160">
        <f>('тариф и РС'!$B$32-'тариф и РС'!$B$33)*население!G33</f>
        <v>44275.52990000001</v>
      </c>
      <c r="H32" s="160">
        <f>('тариф и РС'!$B$32-'тариф и РС'!$B$33)*население!H33</f>
        <v>24161.8636</v>
      </c>
      <c r="I32" s="180">
        <v>260.85</v>
      </c>
      <c r="J32" s="160">
        <f>('тариф и РС'!$I$32-'тариф и РС'!$I$33)*население!I33</f>
        <v>39705.38988000001</v>
      </c>
      <c r="K32" s="160">
        <f>('тариф и РС'!$I$32-'тариф и РС'!$I$33)*население!J33</f>
        <v>47439.722480000004</v>
      </c>
      <c r="L32" s="160">
        <f>('тариф и РС'!$I$32-'тариф и РС'!$I$33)*население!K33</f>
        <v>58667.35186000001</v>
      </c>
      <c r="M32" s="160">
        <f>('тариф и РС'!$I$32-'тариф и РС'!$I$33)*население!L33</f>
        <v>51151.233940000006</v>
      </c>
      <c r="N32" s="160">
        <f>('тариф и РС'!$I$32-'тариф и РС'!$I$33)*население!M33</f>
        <v>43905.83628000001</v>
      </c>
      <c r="O32" s="160">
        <f>('тариф и РС'!$I$32-'тариф и РС'!$I$33)*население!N33</f>
        <v>52682.08812</v>
      </c>
      <c r="P32" s="94">
        <f>C32+D32+E32+F32+G32+H32+J32+K32+L32+M32+N32+O32</f>
        <v>519148.66906</v>
      </c>
    </row>
    <row r="33" spans="1:16" s="20" customFormat="1" ht="11.25" customHeight="1" thickBot="1">
      <c r="A33" s="150"/>
      <c r="B33" s="122">
        <v>66.66</v>
      </c>
      <c r="C33" s="159"/>
      <c r="D33" s="159"/>
      <c r="E33" s="159"/>
      <c r="F33" s="159"/>
      <c r="G33" s="159"/>
      <c r="H33" s="159"/>
      <c r="I33" s="167">
        <v>74.66</v>
      </c>
      <c r="J33" s="160"/>
      <c r="K33" s="160"/>
      <c r="L33" s="160"/>
      <c r="M33" s="160"/>
      <c r="N33" s="160"/>
      <c r="O33" s="160"/>
      <c r="P33" s="94"/>
    </row>
    <row r="34" spans="1:16" ht="11.25" customHeight="1" thickBot="1">
      <c r="A34" s="151" t="s">
        <v>2</v>
      </c>
      <c r="B34" s="130">
        <v>83.61</v>
      </c>
      <c r="C34" s="160">
        <f>('тариф и РС'!$B$34-'тариф и РС'!$B$35)*население!C35</f>
        <v>5758.593000000001</v>
      </c>
      <c r="D34" s="160">
        <f>('тариф и РС'!$B$34-'тариф и РС'!$B$35)*население!D35</f>
        <v>6341.842500000001</v>
      </c>
      <c r="E34" s="160">
        <f>('тариф и РС'!$B$34-'тариф и РС'!$B$35)*население!E35</f>
        <v>6360.148500000001</v>
      </c>
      <c r="F34" s="160">
        <f>('тариф и РС'!$B$34-'тариф и РС'!$B$35)*население!F35</f>
        <v>6438.966000000001</v>
      </c>
      <c r="G34" s="160">
        <f>('тариф и РС'!$B$34-'тариф и РС'!$B$35)*население!G35</f>
        <v>3405.153300000001</v>
      </c>
      <c r="H34" s="160">
        <f>('тариф и РС'!$B$34-'тариф и РС'!$B$35)*население!H35</f>
        <v>1353.10155</v>
      </c>
      <c r="I34" s="167">
        <v>88.75</v>
      </c>
      <c r="J34" s="160">
        <f>('тариф и РС'!$I$34-'тариф и РС'!$I$35)*население!I35</f>
        <v>1193.4652700000004</v>
      </c>
      <c r="K34" s="160">
        <f>('тариф и РС'!$I$34-'тариф и РС'!$I$35)*население!J35</f>
        <v>747.5449500000002</v>
      </c>
      <c r="L34" s="160"/>
      <c r="M34" s="160">
        <f>('тариф и РС'!$I$34-'тариф и РС'!$I$35)*население!L35</f>
        <v>0</v>
      </c>
      <c r="N34" s="160">
        <f>('тариф и РС'!$I$34-'тариф и РС'!$I$35)*население!M35</f>
        <v>0</v>
      </c>
      <c r="O34" s="160">
        <f>('тариф и РС'!$I$34-'тариф и РС'!$I$35)*население!N35</f>
        <v>0</v>
      </c>
      <c r="P34" s="94">
        <f>C34+D34+E34+F34+G34+H34+J34+K34+L34+M34+N34+O34</f>
        <v>31598.815070000004</v>
      </c>
    </row>
    <row r="35" spans="1:16" s="20" customFormat="1" ht="11.25" customHeight="1">
      <c r="A35" s="146"/>
      <c r="B35" s="123">
        <v>66.66</v>
      </c>
      <c r="C35" s="159"/>
      <c r="D35" s="159"/>
      <c r="E35" s="159"/>
      <c r="F35" s="159"/>
      <c r="G35" s="159"/>
      <c r="H35" s="159"/>
      <c r="I35" s="167">
        <v>74.66</v>
      </c>
      <c r="J35" s="160"/>
      <c r="K35" s="160"/>
      <c r="L35" s="160"/>
      <c r="M35" s="160"/>
      <c r="N35" s="161"/>
      <c r="O35" s="207"/>
      <c r="P35" s="205"/>
    </row>
    <row r="36" spans="1:16" ht="15" customHeight="1">
      <c r="A36" s="15" t="s">
        <v>39</v>
      </c>
      <c r="B36" s="31"/>
      <c r="C36" s="31"/>
      <c r="D36" s="31"/>
      <c r="E36" s="31"/>
      <c r="F36" s="31"/>
      <c r="G36" s="31"/>
      <c r="H36" s="31"/>
      <c r="I36" s="206">
        <v>106.18</v>
      </c>
      <c r="J36" s="31"/>
      <c r="K36" s="31"/>
      <c r="L36" s="45"/>
      <c r="M36" s="207">
        <f>('тариф и РС'!$I$36-'тариф и РС'!$I$37)*население!L37</f>
        <v>7811.254880000002</v>
      </c>
      <c r="N36" s="159">
        <f>('тариф и РС'!$I$36-'тариф и РС'!$I$37)*население!M37</f>
        <v>11011.259840000002</v>
      </c>
      <c r="O36" s="159">
        <f>('тариф и РС'!$I$36-'тариф и РС'!$I$37)*население!N37</f>
        <v>8933.177760000004</v>
      </c>
      <c r="P36" s="259">
        <f>M36+N36+O36</f>
        <v>27755.692480000012</v>
      </c>
    </row>
    <row r="37" spans="1:16" ht="13.5" thickBot="1">
      <c r="A37" s="15"/>
      <c r="B37" s="45"/>
      <c r="C37" s="45"/>
      <c r="D37" s="45"/>
      <c r="E37" s="45"/>
      <c r="F37" s="45"/>
      <c r="G37" s="45"/>
      <c r="H37" s="45"/>
      <c r="I37" s="45">
        <v>74.66</v>
      </c>
      <c r="J37" s="45"/>
      <c r="K37" s="45"/>
      <c r="L37" s="31"/>
      <c r="M37" s="71"/>
      <c r="N37" s="188"/>
      <c r="O37" s="208"/>
      <c r="P37" s="221"/>
    </row>
    <row r="38" spans="1:17" ht="11.25" customHeight="1" thickBot="1">
      <c r="A38" s="146" t="s">
        <v>22</v>
      </c>
      <c r="B38" s="130">
        <v>143.33</v>
      </c>
      <c r="C38" s="160">
        <f>('тариф и РС'!$B$38-'тариф и РС'!$B$39)*население!C39</f>
        <v>1236668.6992000004</v>
      </c>
      <c r="D38" s="129">
        <f>(ПОСТАВЩИК!D40/ПОСТАВЩИК!D39-'тариф и РС'!$B$39)*население!D39</f>
        <v>1136880.3968297166</v>
      </c>
      <c r="E38" s="129">
        <f>(ПОСТАВЩИК!E40/ПОСТАВЩИК!E39-'тариф и РС'!$B$39)*население!E39</f>
        <v>1154788.6899098556</v>
      </c>
      <c r="F38" s="164">
        <v>1079027.46</v>
      </c>
      <c r="G38" s="164">
        <v>784929.99</v>
      </c>
      <c r="H38" s="129">
        <f>(ПОСТАВЩИК!H40/ПОСТАВЩИК!H39-'тариф и РС'!$B$39)*население!H39</f>
        <v>716079.2993993849</v>
      </c>
      <c r="I38" s="167">
        <v>167.49</v>
      </c>
      <c r="J38" s="160">
        <f>(Q38-'тариф и РС'!$I$39)*ПОСТАВЩИК!I39</f>
        <v>262197.7687</v>
      </c>
      <c r="K38" s="160">
        <f>(Q39-'тариф и РС'!$I$39)*население!J39</f>
        <v>589879.84835</v>
      </c>
      <c r="L38" s="160">
        <f>(Q40-'тариф и РС'!$I$39)*население!K39</f>
        <v>774625.1923799999</v>
      </c>
      <c r="M38" s="160">
        <f>(Q41-'тариф и РС'!$I$39)*население!L39</f>
        <v>1295849.7143899999</v>
      </c>
      <c r="N38" s="160">
        <f>(Q42-'тариф и РС'!$I$39)*население!M39</f>
        <v>1356862.4052000002</v>
      </c>
      <c r="O38" s="160">
        <f>('тариф и РС'!$I$38-'тариф и РС'!$I$39)*население!N39</f>
        <v>1299840.0071000003</v>
      </c>
      <c r="P38" s="94">
        <f>C38+D38+E38+F38+G38+H38+J38+K38+L38+M38+N38+O38</f>
        <v>11687629.471458958</v>
      </c>
      <c r="Q38">
        <v>168.37</v>
      </c>
    </row>
    <row r="39" spans="1:17" s="20" customFormat="1" ht="11.25" customHeight="1" thickBot="1">
      <c r="A39" s="146"/>
      <c r="B39" s="123">
        <v>66.66</v>
      </c>
      <c r="C39" s="159"/>
      <c r="D39" s="159"/>
      <c r="E39" s="159"/>
      <c r="F39" s="159"/>
      <c r="G39" s="159"/>
      <c r="H39" s="159"/>
      <c r="I39" s="167">
        <v>74.66</v>
      </c>
      <c r="J39" s="186">
        <v>264516.32</v>
      </c>
      <c r="K39" s="160"/>
      <c r="L39" s="160"/>
      <c r="M39" s="160"/>
      <c r="N39" s="160"/>
      <c r="O39" s="160"/>
      <c r="P39" s="94"/>
      <c r="Q39" s="20">
        <v>168.75</v>
      </c>
    </row>
    <row r="40" spans="1:17" ht="23.25" customHeight="1" thickBot="1">
      <c r="A40" s="146" t="s">
        <v>23</v>
      </c>
      <c r="B40" s="123">
        <v>101.83</v>
      </c>
      <c r="C40" s="160">
        <f>('тариф и РС'!$B$40-'тариф и РС'!$B$41)*население!C41</f>
        <v>18120.6391</v>
      </c>
      <c r="D40" s="160">
        <f>('тариф и РС'!$B$40-'тариф и РС'!$B$41)*население!D41</f>
        <v>18757.5678</v>
      </c>
      <c r="E40" s="160">
        <f>('тариф и РС'!$B$40-'тариф и РС'!$B$41)*население!E41</f>
        <v>16025.562200000002</v>
      </c>
      <c r="F40" s="160">
        <f>('тариф и РС'!$B$40-'тариф и РС'!$B$41)*население!F41</f>
        <v>17315.949500000002</v>
      </c>
      <c r="G40" s="160">
        <f>('тариф и РС'!$B$40-'тариф и РС'!$B$41)*население!G41</f>
        <v>18839.900770000004</v>
      </c>
      <c r="H40" s="160">
        <f>('тариф и РС'!$B$40-'тариф и РС'!$B$41)*население!H41</f>
        <v>18153.558220000003</v>
      </c>
      <c r="I40" s="167">
        <v>109.13</v>
      </c>
      <c r="J40" s="160">
        <f>('тариф и РС'!$I$40-'тариф и РС'!$I$41)*население!I41</f>
        <v>16176.495239999998</v>
      </c>
      <c r="K40" s="160">
        <f>('тариф и РС'!$I$40-'тариф и РС'!$I$41)*население!J41</f>
        <v>17209.94031</v>
      </c>
      <c r="L40" s="160">
        <f>('тариф и РС'!$I$40-'тариф и РС'!$I$41)*население!K41</f>
        <v>17030.86866</v>
      </c>
      <c r="M40" s="160">
        <f>('тариф и РС'!$I$40-'тариф и РС'!$I$41)*население!L41</f>
        <v>16168.291379999999</v>
      </c>
      <c r="N40" s="160">
        <f>('тариф и РС'!$I$40-'тариф и РС'!$I$41)*население!M41</f>
        <v>12001.10967</v>
      </c>
      <c r="O40" s="160">
        <f>('тариф и РС'!$I$40-'тариф и РС'!$I$41)*население!N41</f>
        <v>16011.21159</v>
      </c>
      <c r="P40" s="94">
        <f>C40+D40+E40+F40+G40+H40+J40+K40+L40+M40+N40+O40</f>
        <v>201811.09444000004</v>
      </c>
      <c r="Q40">
        <v>168.92</v>
      </c>
    </row>
    <row r="41" spans="1:17" ht="11.25" customHeight="1" thickBot="1">
      <c r="A41" s="146"/>
      <c r="B41" s="123">
        <v>66.66</v>
      </c>
      <c r="C41" s="159"/>
      <c r="D41" s="159"/>
      <c r="E41" s="159"/>
      <c r="F41" s="159"/>
      <c r="G41" s="159"/>
      <c r="H41" s="159"/>
      <c r="I41" s="167">
        <v>74.66</v>
      </c>
      <c r="J41" s="160"/>
      <c r="K41" s="160"/>
      <c r="L41" s="160"/>
      <c r="M41" s="160"/>
      <c r="N41" s="160"/>
      <c r="O41" s="160"/>
      <c r="P41" s="94"/>
      <c r="Q41">
        <v>168.73</v>
      </c>
    </row>
    <row r="42" spans="1:17" ht="11.25" customHeight="1" thickBot="1">
      <c r="A42" s="146" t="s">
        <v>8</v>
      </c>
      <c r="B42" s="123">
        <v>101.52</v>
      </c>
      <c r="C42" s="160">
        <f>('тариф и РС'!$B$42-'тариф и РС'!$B$43)*население!C43</f>
        <v>369476.9568</v>
      </c>
      <c r="D42" s="160">
        <f>('тариф и РС'!$B$42-'тариф и РС'!$B$43)*население!D43</f>
        <v>366087.1704</v>
      </c>
      <c r="E42" s="160">
        <f>('тариф и РС'!$B$42-'тариф и РС'!$B$43)*население!E43</f>
        <v>359886.9708</v>
      </c>
      <c r="F42" s="160">
        <f>('тариф и РС'!$B$42-'тариф и РС'!$B$43)*население!F43</f>
        <v>374822.7378</v>
      </c>
      <c r="G42" s="160">
        <f>('тариф и РС'!$B$42-'тариф и РС'!$B$43)*население!G43</f>
        <v>291171.42684</v>
      </c>
      <c r="H42" s="160">
        <f>('тариф и РС'!$B$42-'тариф и РС'!$B$43)*население!H43</f>
        <v>177159.0429</v>
      </c>
      <c r="I42" s="167">
        <v>119.32</v>
      </c>
      <c r="J42" s="160">
        <f>('тариф и РС'!$I$42-'тариф и РС'!$I$43)*население!I43</f>
        <v>425881.60075999994</v>
      </c>
      <c r="K42" s="160">
        <f>('тариф и РС'!$I$42-'тариф и РС'!$I$43)*население!J43</f>
        <v>434802.70372</v>
      </c>
      <c r="L42" s="160">
        <f>('тариф и РС'!$I$42-'тариф и РС'!$I$43)*население!K43</f>
        <v>423271.44706</v>
      </c>
      <c r="M42" s="160">
        <f>('тариф и РС'!$I$42-'тариф и РС'!$I$43)*население!L43</f>
        <v>455442.90329999995</v>
      </c>
      <c r="N42" s="160">
        <f>('тариф и РС'!$I$42-'тариф и РС'!$I$43)*население!M43</f>
        <v>456903.9998599999</v>
      </c>
      <c r="O42" s="160">
        <f>('тариф и РС'!$I$42-'тариф и РС'!$I$43)*население!N43</f>
        <v>450218.53183999995</v>
      </c>
      <c r="P42" s="94">
        <f>C42+D42+E42+F42+G42+H42+J42+K42+L42+M42+N42+O42</f>
        <v>4585125.49208</v>
      </c>
      <c r="Q42">
        <v>168.33</v>
      </c>
    </row>
    <row r="43" spans="1:16" s="20" customFormat="1" ht="9.75" customHeight="1" thickBot="1">
      <c r="A43" s="146"/>
      <c r="B43" s="131">
        <v>66.66</v>
      </c>
      <c r="C43" s="159"/>
      <c r="D43" s="159"/>
      <c r="E43" s="159"/>
      <c r="F43" s="159"/>
      <c r="G43" s="159"/>
      <c r="H43" s="159"/>
      <c r="I43" s="167">
        <v>74.66</v>
      </c>
      <c r="J43" s="160"/>
      <c r="K43" s="160"/>
      <c r="L43" s="160"/>
      <c r="M43" s="160"/>
      <c r="N43" s="160"/>
      <c r="O43" s="160"/>
      <c r="P43" s="94"/>
    </row>
    <row r="44" spans="1:16" ht="21" customHeight="1" thickBot="1">
      <c r="A44" s="146" t="s">
        <v>31</v>
      </c>
      <c r="B44" s="123">
        <v>143.03</v>
      </c>
      <c r="C44" s="160">
        <f>('тариф и РС'!$B$44-'тариф и РС'!$B$45)*население!C45</f>
        <v>36069.551</v>
      </c>
      <c r="D44" s="160">
        <f>('тариф и РС'!$B$44-'тариф и РС'!$B$45)*население!D45</f>
        <v>36578.9389</v>
      </c>
      <c r="E44" s="160">
        <f>('тариф и РС'!$B$44-'тариф и РС'!$B$45)*население!E45</f>
        <v>35163.0391</v>
      </c>
      <c r="F44" s="160">
        <f>('тариф и РС'!$B$44-'тариф и РС'!$B$45)*население!F45</f>
        <v>24282.605199999998</v>
      </c>
      <c r="G44" s="160">
        <f>('тариф и РС'!$B$44-'тариф и РС'!$B$45)*население!G45</f>
        <v>35953.77408</v>
      </c>
      <c r="H44" s="160">
        <f>('тариф и РС'!$B$44-'тариф и РС'!$B$45)*население!H45</f>
        <v>35686.1736</v>
      </c>
      <c r="I44" s="167">
        <v>153.42</v>
      </c>
      <c r="J44" s="160">
        <f>('тариф и РС'!$I$44-'тариф и РС'!$I$45)*население!I45</f>
        <v>36196.83583999999</v>
      </c>
      <c r="K44" s="160">
        <f>('тариф и РС'!$I$44-'тариф и РС'!$I$45)*население!J45</f>
        <v>36191.48016</v>
      </c>
      <c r="L44" s="160">
        <f>('тариф и РС'!$I$44-'тариф и РС'!$I$45)*население!K45</f>
        <v>35901.643359999995</v>
      </c>
      <c r="M44" s="160">
        <f>('тариф и РС'!$I$44-'тариф и РС'!$I$45)*население!L45</f>
        <v>43696.12676</v>
      </c>
      <c r="N44" s="160">
        <f>('тариф и РС'!$I$44-'тариф и РС'!$I$45)*население!M45</f>
        <v>34195.78052</v>
      </c>
      <c r="O44" s="160">
        <f>('тариф и РС'!$I$44-'тариф и РС'!$I$45)*население!N45</f>
        <v>37079.89296</v>
      </c>
      <c r="P44" s="94">
        <f>C44+D44+E44+F44+G44+H44+J44+K44+L44+M44+N44+O44</f>
        <v>426995.84147999994</v>
      </c>
    </row>
    <row r="45" spans="1:16" ht="11.25" customHeight="1">
      <c r="A45" s="152"/>
      <c r="B45" s="132">
        <v>66.66</v>
      </c>
      <c r="C45" s="51"/>
      <c r="D45" s="51"/>
      <c r="E45" s="51"/>
      <c r="F45" s="51"/>
      <c r="G45" s="51"/>
      <c r="H45" s="51"/>
      <c r="I45" s="167">
        <v>74.66</v>
      </c>
      <c r="J45" s="160"/>
      <c r="K45" s="160"/>
      <c r="L45" s="160"/>
      <c r="M45" s="160"/>
      <c r="N45" s="159"/>
      <c r="O45" s="207"/>
      <c r="P45" s="94"/>
    </row>
    <row r="46" spans="1:16" ht="33.75">
      <c r="A46" s="15" t="s">
        <v>37</v>
      </c>
      <c r="B46" s="75"/>
      <c r="C46" s="75"/>
      <c r="D46" s="75"/>
      <c r="E46" s="75"/>
      <c r="F46" s="116"/>
      <c r="G46" s="75"/>
      <c r="H46" s="75"/>
      <c r="I46" s="75">
        <v>89.17</v>
      </c>
      <c r="J46" s="75"/>
      <c r="K46" s="116"/>
      <c r="L46" s="75"/>
      <c r="M46" s="209">
        <f>('тариф и РС'!$I$46-'тариф и РС'!$I$47)*население!L47</f>
        <v>2296.933000000001</v>
      </c>
      <c r="N46" s="209">
        <f>('тариф и РС'!$I$46-'тариф и РС'!$I$47)*население!M47</f>
        <v>2509.5770500000012</v>
      </c>
      <c r="O46" s="209">
        <f>('тариф и РС'!$I$46-'тариф и РС'!$I$47)*население!N47</f>
        <v>2353.522000000001</v>
      </c>
      <c r="P46" s="220">
        <f>M46+N46</f>
        <v>4806.510050000003</v>
      </c>
    </row>
    <row r="47" spans="1:18" ht="13.5" thickBot="1">
      <c r="A47" s="18"/>
      <c r="B47" s="43"/>
      <c r="C47" s="43"/>
      <c r="D47" s="43"/>
      <c r="E47" s="43"/>
      <c r="F47" s="43"/>
      <c r="G47" s="43"/>
      <c r="H47" s="43"/>
      <c r="I47" s="43">
        <v>74.66</v>
      </c>
      <c r="J47" s="43"/>
      <c r="K47" s="43"/>
      <c r="L47" s="78"/>
      <c r="M47" s="210"/>
      <c r="N47" s="213"/>
      <c r="O47" s="208"/>
      <c r="P47" s="221"/>
      <c r="R47" s="20"/>
    </row>
    <row r="48" spans="1:16" ht="18.75" customHeight="1" thickBot="1">
      <c r="A48" s="149" t="s">
        <v>24</v>
      </c>
      <c r="B48" s="133"/>
      <c r="C48" s="4">
        <f>SUM(C50,C52,C54,C58,C60,C62,C64,C66,C68)</f>
        <v>212345.4650558255</v>
      </c>
      <c r="D48" s="4">
        <f aca="true" t="shared" si="3" ref="D48:O48">SUM(D50,D52,D54,D58,D60,D62,D64,D66,D68)</f>
        <v>206997.9772585409</v>
      </c>
      <c r="E48" s="4">
        <f t="shared" si="3"/>
        <v>202059.13743641562</v>
      </c>
      <c r="F48" s="48">
        <f t="shared" si="3"/>
        <v>205400.1321605285</v>
      </c>
      <c r="G48" s="48">
        <f t="shared" si="3"/>
        <v>203205.64460443682</v>
      </c>
      <c r="H48" s="48">
        <f t="shared" si="3"/>
        <v>203103.88664425188</v>
      </c>
      <c r="I48" s="171"/>
      <c r="J48" s="171">
        <f>SUM(J50,J52,J54,J58,J60,J62,J64,J66,J68)</f>
        <v>219833.50430999996</v>
      </c>
      <c r="K48" s="171">
        <f t="shared" si="3"/>
        <v>227042.74773</v>
      </c>
      <c r="L48" s="171">
        <f t="shared" si="3"/>
        <v>227840.02203999995</v>
      </c>
      <c r="M48" s="211">
        <f>SUM(M50,M52,M54,M58,M60,M62,M64,M66,M68,M56)</f>
        <v>250273.67070999992</v>
      </c>
      <c r="N48" s="214">
        <f>SUM(N50,N52,N54,N56,N58,N60,N62,N64,N66,N68)</f>
        <v>251673.76721</v>
      </c>
      <c r="O48" s="212">
        <f t="shared" si="3"/>
        <v>226020.77527999997</v>
      </c>
      <c r="P48" s="93">
        <f>C48+D48+E48+F48+G48+H48+J48+K48+L48+M48+N48+O48</f>
        <v>2635796.730439999</v>
      </c>
    </row>
    <row r="49" spans="1:16" ht="8.25" customHeight="1" thickBot="1">
      <c r="A49" s="149"/>
      <c r="B49" s="133"/>
      <c r="C49" s="48"/>
      <c r="D49" s="48"/>
      <c r="E49" s="48"/>
      <c r="F49" s="48"/>
      <c r="G49" s="48"/>
      <c r="H49" s="48"/>
      <c r="I49" s="171"/>
      <c r="J49" s="171"/>
      <c r="K49" s="171"/>
      <c r="L49" s="171"/>
      <c r="M49" s="171"/>
      <c r="N49" s="48"/>
      <c r="O49" s="91"/>
      <c r="P49" s="93"/>
    </row>
    <row r="50" spans="1:16" ht="31.5" customHeight="1" thickBot="1">
      <c r="A50" s="134" t="s">
        <v>33</v>
      </c>
      <c r="B50" s="134">
        <v>27.08</v>
      </c>
      <c r="C50" s="160">
        <f>('тариф и РС'!$B$50-'тариф и РС'!$B$51)*население!C51</f>
        <v>1461.2348999999997</v>
      </c>
      <c r="D50" s="160">
        <f>('тариф и РС'!$B$50-'тариф и РС'!$B$51)*население!D51</f>
        <v>1440.0782999999997</v>
      </c>
      <c r="E50" s="160">
        <f>('тариф и РС'!$B$50-'тариф и РС'!$B$51)*население!E51</f>
        <v>1440.0782999999997</v>
      </c>
      <c r="F50" s="160">
        <f>('тариф и РС'!$B$50-'тариф и РС'!$B$51)*население!F51</f>
        <v>1440.0782999999997</v>
      </c>
      <c r="G50" s="160">
        <f>('тариф и РС'!$B$50-'тариф и РС'!$B$51)*население!G51</f>
        <v>1440.0306499999995</v>
      </c>
      <c r="H50" s="160">
        <f>('тариф и РС'!$B$50-'тариф и РС'!$B$51)*население!H51</f>
        <v>1440.0306499999995</v>
      </c>
      <c r="I50" s="172">
        <v>35</v>
      </c>
      <c r="J50" s="160">
        <f>('тариф и РС'!$I$50-'тариф и РС'!$I$51)*население!I51</f>
        <v>2317.88934</v>
      </c>
      <c r="K50" s="160">
        <f>('тариф и РС'!$I$50-'тариф и РС'!$I$51)*население!J51</f>
        <v>2317.88934</v>
      </c>
      <c r="L50" s="160">
        <f>('тариф и РС'!$I$50-'тариф и РС'!$I$51)*население!K51</f>
        <v>1573.99138</v>
      </c>
      <c r="M50" s="160">
        <f>('тариф и РС'!$I$50-'тариф и РС'!$I$51)*население!L51</f>
        <v>2317.88934</v>
      </c>
      <c r="N50" s="160">
        <f>('тариф и РС'!$I$50-'тариф и РС'!$I$51)*население!M51</f>
        <v>2317.88934</v>
      </c>
      <c r="O50" s="160">
        <f>('тариф и РС'!$I$50-'тариф и РС'!$I$51)*население!N51</f>
        <v>2317.88934</v>
      </c>
      <c r="P50" s="94">
        <f>C50+D50+E50+F50+G50+H50+J50+K50+L50+M50+N50+O50</f>
        <v>21824.96918</v>
      </c>
    </row>
    <row r="51" spans="1:16" ht="9.75" customHeight="1" thickBot="1">
      <c r="A51" s="134"/>
      <c r="B51" s="134">
        <v>17.55</v>
      </c>
      <c r="C51" s="165"/>
      <c r="D51" s="165"/>
      <c r="E51" s="165"/>
      <c r="F51" s="165"/>
      <c r="G51" s="165"/>
      <c r="H51" s="165"/>
      <c r="I51" s="172">
        <v>19.66</v>
      </c>
      <c r="J51" s="160"/>
      <c r="K51" s="160"/>
      <c r="L51" s="160"/>
      <c r="M51" s="160"/>
      <c r="N51" s="160"/>
      <c r="O51" s="160"/>
      <c r="P51" s="94"/>
    </row>
    <row r="52" spans="1:16" ht="31.5" customHeight="1" thickBot="1">
      <c r="A52" s="134" t="s">
        <v>34</v>
      </c>
      <c r="B52" s="134">
        <v>27.14</v>
      </c>
      <c r="C52" s="160">
        <f>('тариф и РС'!$B$52-'тариф и РС'!$B$53)*население!C53</f>
        <v>3910.0480000000002</v>
      </c>
      <c r="D52" s="160">
        <f>('тариф и РС'!$B$52-'тариф и РС'!$B$53)*население!D53</f>
        <v>3785.4400000000005</v>
      </c>
      <c r="E52" s="160">
        <f>('тариф и РС'!$B$52-'тариф и РС'!$B$53)*население!E53</f>
        <v>3851.9920000000006</v>
      </c>
      <c r="F52" s="160">
        <f>('тариф и РС'!$B$52-'тариф и РС'!$B$53)*население!F53</f>
        <v>3838.2096</v>
      </c>
      <c r="G52" s="160">
        <f>('тариф и РС'!$B$52-'тариф и РС'!$B$53)*население!G53</f>
        <v>3921.4043200000006</v>
      </c>
      <c r="H52" s="160">
        <f>('тариф и РС'!$B$52-'тариф и РС'!$B$53)*население!H53</f>
        <v>3592.8451200000004</v>
      </c>
      <c r="I52" s="172">
        <v>33.76</v>
      </c>
      <c r="J52" s="160">
        <f>('тариф и РС'!$I$52-'тариф и РС'!$I$53)*население!I53</f>
        <v>5537.316499999999</v>
      </c>
      <c r="K52" s="160">
        <f>('тариф и РС'!$I$52-'тариф и РС'!$I$53)*население!J53</f>
        <v>5781.977439999999</v>
      </c>
      <c r="L52" s="160">
        <f>('тариф и РС'!$I$52-'тариф и РС'!$I$53)*население!K53</f>
        <v>6041.7354</v>
      </c>
      <c r="M52" s="160">
        <f>('тариф и РС'!$I$52-'тариф и РС'!$I$53)*население!L53</f>
        <v>5200.27518</v>
      </c>
      <c r="N52" s="160">
        <f>('тариф и РС'!$I$52-'тариф и РС'!$I$53)*население!M53</f>
        <v>5507.666119999999</v>
      </c>
      <c r="O52" s="160">
        <f>('тариф и РС'!$I$52-'тариф и РС'!$I$53)*население!N53</f>
        <v>5747.963839999999</v>
      </c>
      <c r="P52" s="94">
        <f>C52+D52+E52+F52+G52+H52+J52+K52+L52+M52+N52+O52</f>
        <v>56716.873519999994</v>
      </c>
    </row>
    <row r="53" spans="1:16" ht="12" customHeight="1" thickBot="1">
      <c r="A53" s="134"/>
      <c r="B53" s="134">
        <v>17.7</v>
      </c>
      <c r="C53" s="165"/>
      <c r="D53" s="165"/>
      <c r="E53" s="165"/>
      <c r="F53" s="165"/>
      <c r="G53" s="165"/>
      <c r="H53" s="165"/>
      <c r="I53" s="172">
        <v>19.82</v>
      </c>
      <c r="J53" s="160"/>
      <c r="K53" s="160"/>
      <c r="L53" s="160"/>
      <c r="M53" s="160"/>
      <c r="N53" s="160"/>
      <c r="O53" s="160"/>
      <c r="P53" s="94"/>
    </row>
    <row r="54" spans="1:17" ht="13.5" thickBot="1">
      <c r="A54" s="135" t="s">
        <v>2</v>
      </c>
      <c r="B54" s="135">
        <v>21.42</v>
      </c>
      <c r="C54" s="160">
        <f>('тариф и РС'!$B$54-'тариф и РС'!$B$55)*население!C55</f>
        <v>32102.03700000001</v>
      </c>
      <c r="D54" s="160">
        <f>('тариф и РС'!$B$54-'тариф и РС'!$B$55)*население!D55</f>
        <v>32354.709300000006</v>
      </c>
      <c r="E54" s="160">
        <f>('тариф и РС'!$B$54-'тариф и РС'!$B$55)*население!E55</f>
        <v>30605.895000000008</v>
      </c>
      <c r="F54" s="160">
        <f>('тариф и РС'!$B$54-'тариф и РС'!$B$55)*население!F55</f>
        <v>31803.930900000007</v>
      </c>
      <c r="G54" s="160">
        <f>('тариф и РС'!$B$54-'тариф и РС'!$B$55)*население!G55</f>
        <v>30447.182430000004</v>
      </c>
      <c r="H54" s="160">
        <f>('тариф и РС'!$B$54-'тариф и РС'!$B$55)*население!H55</f>
        <v>30925.796940000007</v>
      </c>
      <c r="I54" s="172">
        <v>19.22</v>
      </c>
      <c r="J54" s="160">
        <f>('тариф и РС'!$I$54-'тариф и РС'!$I$55)*население!I55</f>
        <v>0</v>
      </c>
      <c r="K54" s="160">
        <f>('тариф и РС'!$I$54-'тариф и РС'!$I$55)*население!J55</f>
        <v>0</v>
      </c>
      <c r="L54" s="160">
        <f>(Q54-'тариф и РС'!$I$55)*население!K55</f>
        <v>0</v>
      </c>
      <c r="M54" s="160">
        <f>('тариф и РС'!$I$54-'тариф и РС'!$I$55)*население!L55</f>
        <v>0</v>
      </c>
      <c r="N54" s="160">
        <f>('тариф и РС'!$I$54-'тариф и РС'!$I$55)*население!M55</f>
        <v>0</v>
      </c>
      <c r="O54" s="160">
        <f>('тариф и РС'!$I$54-'тариф и РС'!$I$55)*население!N55</f>
        <v>0</v>
      </c>
      <c r="P54" s="94">
        <f>C54+D54+E54+F54+G54+H54+J54+K54+L54+M54+N54+O54</f>
        <v>188239.55157000004</v>
      </c>
      <c r="Q54">
        <v>22.11</v>
      </c>
    </row>
    <row r="55" spans="1:16" ht="10.5" customHeight="1">
      <c r="A55" s="135"/>
      <c r="B55" s="135">
        <v>17.55</v>
      </c>
      <c r="C55" s="165"/>
      <c r="D55" s="165"/>
      <c r="E55" s="165"/>
      <c r="F55" s="165"/>
      <c r="G55" s="165"/>
      <c r="H55" s="165"/>
      <c r="I55" s="172">
        <v>19.22</v>
      </c>
      <c r="J55" s="160"/>
      <c r="K55" s="160"/>
      <c r="L55" s="160"/>
      <c r="M55" s="160"/>
      <c r="N55" s="161"/>
      <c r="O55" s="207"/>
      <c r="P55" s="94"/>
    </row>
    <row r="56" spans="1:18" ht="18" customHeight="1">
      <c r="A56" s="15" t="s">
        <v>39</v>
      </c>
      <c r="B56" s="31"/>
      <c r="C56" s="31"/>
      <c r="D56" s="31"/>
      <c r="E56" s="31"/>
      <c r="F56" s="31"/>
      <c r="G56" s="31"/>
      <c r="H56" s="31"/>
      <c r="I56" s="31">
        <v>22.11</v>
      </c>
      <c r="J56" s="31"/>
      <c r="K56" s="114"/>
      <c r="L56" s="160">
        <f>('тариф и РС'!$I$56-Q57)*население!K57</f>
        <v>24135.9795</v>
      </c>
      <c r="M56" s="160">
        <f>('тариф и РС'!$I$56-Q57)*население!L57</f>
        <v>22393.014720000006</v>
      </c>
      <c r="N56" s="159">
        <f>('тариф и РС'!$I$56-'тариф и РС'!$I$57)*население!M57</f>
        <v>19598.904849999995</v>
      </c>
      <c r="O56" s="159">
        <f>('тариф и РС'!$I$56-'тариф и РС'!$I$57)*население!N57</f>
        <v>19487.584199999994</v>
      </c>
      <c r="P56" s="259">
        <f>L56+M56+N56+O56</f>
        <v>85615.48327</v>
      </c>
      <c r="Q56" s="200"/>
      <c r="R56" s="200"/>
    </row>
    <row r="57" spans="1:18" ht="13.5" thickBot="1">
      <c r="A57" s="15"/>
      <c r="B57" s="45"/>
      <c r="C57" s="45"/>
      <c r="D57" s="45"/>
      <c r="E57" s="45"/>
      <c r="F57" s="45"/>
      <c r="G57" s="45"/>
      <c r="H57" s="45"/>
      <c r="I57" s="45">
        <v>19.66</v>
      </c>
      <c r="J57" s="45"/>
      <c r="K57" s="9"/>
      <c r="L57" s="31"/>
      <c r="M57" s="71"/>
      <c r="N57" s="188"/>
      <c r="O57" s="208"/>
      <c r="P57" s="221"/>
      <c r="Q57" s="203">
        <v>19.22</v>
      </c>
      <c r="R57" s="203"/>
    </row>
    <row r="58" spans="1:16" ht="33.75" customHeight="1" thickBot="1">
      <c r="A58" s="135" t="s">
        <v>3</v>
      </c>
      <c r="B58" s="135">
        <v>23.27</v>
      </c>
      <c r="C58" s="166">
        <f>('тариф и РС'!$B$58-'тариф и РС'!$B$59)*ПОСТАВЩИК!C59</f>
        <v>667.8430000000001</v>
      </c>
      <c r="D58" s="166">
        <f>('тариф и РС'!$B$58-'тариф и РС'!$B$59)*ПОСТАВЩИК!D59</f>
        <v>667.8430000000001</v>
      </c>
      <c r="E58" s="166">
        <f>('тариф и РС'!$B$58-'тариф и РС'!$B$59)*ПОСТАВЩИК!E59</f>
        <v>667.8430000000001</v>
      </c>
      <c r="F58" s="166">
        <f>('тариф и РС'!$B$58-'тариф и РС'!$B$59)*ПОСТАВЩИК!F59</f>
        <v>667.8430000000001</v>
      </c>
      <c r="G58" s="166">
        <f>('тариф и РС'!$B$58-'тариф и РС'!$B$59)*ПОСТАВЩИК!G59</f>
        <v>667.8430000000001</v>
      </c>
      <c r="H58" s="166">
        <f>('тариф и РС'!$B$58-'тариф и РС'!$B$59)*ПОСТАВЩИК!H59</f>
        <v>667.8430000000001</v>
      </c>
      <c r="I58" s="172">
        <v>27.87</v>
      </c>
      <c r="J58" s="160">
        <f>('тариф и РС'!$I$58-'тариф и РС'!$I$59)*ПОСТАВЩИК!I59</f>
        <v>965.1950000000002</v>
      </c>
      <c r="K58" s="160">
        <f>('тариф и РС'!$I$58-'тариф и РС'!$I$59)*население!J59</f>
        <v>1061.795</v>
      </c>
      <c r="L58" s="160">
        <f>('тариф и РС'!$I$58-'тариф и РС'!$I$59)*население!K59</f>
        <v>1061.795</v>
      </c>
      <c r="M58" s="160">
        <f>('тариф и РС'!$I$58-'тариф и РС'!$I$59)*население!L59</f>
        <v>1061.795</v>
      </c>
      <c r="N58" s="160">
        <f>('тариф и РС'!$I$58-'тариф и РС'!$I$59)*население!M59</f>
        <v>1000.615</v>
      </c>
      <c r="O58" s="160">
        <f>('тариф и РС'!$I$58-'тариф и РС'!$I$59)*население!N59</f>
        <v>989.3450000000001</v>
      </c>
      <c r="P58" s="94">
        <f>C58+D58+E58+F58+G58+H58+J58+K58+L58+M58+N58+O58</f>
        <v>10147.598</v>
      </c>
    </row>
    <row r="59" spans="1:16" ht="11.25" customHeight="1" thickBot="1">
      <c r="A59" s="135"/>
      <c r="B59" s="135">
        <v>17.7</v>
      </c>
      <c r="C59" s="165"/>
      <c r="D59" s="165"/>
      <c r="E59" s="165"/>
      <c r="F59" s="165"/>
      <c r="G59" s="165"/>
      <c r="H59" s="165"/>
      <c r="I59" s="172">
        <v>19.82</v>
      </c>
      <c r="J59" s="160"/>
      <c r="K59" s="160"/>
      <c r="L59" s="160"/>
      <c r="M59" s="160"/>
      <c r="N59" s="160"/>
      <c r="O59" s="160"/>
      <c r="P59" s="94"/>
    </row>
    <row r="60" spans="1:16" s="86" customFormat="1" ht="13.5" thickBot="1">
      <c r="A60" s="136" t="s">
        <v>22</v>
      </c>
      <c r="B60" s="136">
        <v>18.18</v>
      </c>
      <c r="C60" s="129">
        <f>('тариф и РС'!$B$60-'тариф и РС'!$B$61)*население!C61</f>
        <v>26450.853855825535</v>
      </c>
      <c r="D60" s="129">
        <f>('тариф и РС'!$B$60-'тариф и РС'!$B$61)*население!D61</f>
        <v>24896.325058540944</v>
      </c>
      <c r="E60" s="129">
        <f>('тариф и РС'!$B$60-'тариф и РС'!$B$61)*население!E61</f>
        <v>24875.09393641566</v>
      </c>
      <c r="F60" s="129">
        <f>('тариф и РС'!$B$60-'тариф и РС'!$B$61)*население!F61</f>
        <v>25190.815160528527</v>
      </c>
      <c r="G60" s="129">
        <f>('тариф и РС'!$B$60-'тариф и РС'!$B$61)*население!G61</f>
        <v>26158.40402443684</v>
      </c>
      <c r="H60" s="129">
        <f>('тариф и РС'!$B$60-'тариф и РС'!$B$61)*население!H61</f>
        <v>26677.159984251935</v>
      </c>
      <c r="I60" s="173">
        <v>19.95</v>
      </c>
      <c r="J60" s="186">
        <f>('тариф и РС'!$I$60-'тариф и РС'!$I$61)*население!I61</f>
        <v>11464.072</v>
      </c>
      <c r="K60" s="160">
        <f>('тариф и РС'!$I$60-'тариф и РС'!$I$61)*население!J61</f>
        <v>11310.4415</v>
      </c>
      <c r="L60" s="160">
        <f>('тариф и РС'!$I$60-'тариф и РС'!$I$61)*население!K61</f>
        <v>11315.66075</v>
      </c>
      <c r="M60" s="160">
        <f>('тариф и РС'!$I$60-'тариф и РС'!$I$61)*население!L61</f>
        <v>11032.41075</v>
      </c>
      <c r="N60" s="160">
        <f>('тариф и РС'!$I$60-'тариф и РС'!$I$61)*население!M61</f>
        <v>10579.66175</v>
      </c>
      <c r="O60" s="160">
        <f>('тариф и РС'!$I$60-'тариф и РС'!$I$61)*население!N61</f>
        <v>10178.6785</v>
      </c>
      <c r="P60" s="94">
        <f>C60+D60+E60+F60+G60+H60+J60+K60+L60+M60+N60+O60</f>
        <v>220129.57726999948</v>
      </c>
    </row>
    <row r="61" spans="1:16" ht="11.25" customHeight="1" thickBot="1">
      <c r="A61" s="135"/>
      <c r="B61" s="137">
        <f>население!P62</f>
        <v>17.588274188258357</v>
      </c>
      <c r="C61" s="165"/>
      <c r="D61" s="165"/>
      <c r="E61" s="165"/>
      <c r="F61" s="165"/>
      <c r="G61" s="165"/>
      <c r="H61" s="165"/>
      <c r="I61" s="173">
        <v>19.7</v>
      </c>
      <c r="J61" s="160"/>
      <c r="K61" s="160"/>
      <c r="L61" s="160"/>
      <c r="M61" s="160"/>
      <c r="N61" s="160"/>
      <c r="O61" s="160"/>
      <c r="P61" s="94"/>
    </row>
    <row r="62" spans="1:16" s="86" customFormat="1" ht="45" customHeight="1" thickBot="1">
      <c r="A62" s="136" t="s">
        <v>36</v>
      </c>
      <c r="B62" s="138">
        <v>23.29</v>
      </c>
      <c r="C62" s="129">
        <f>('тариф и РС'!$B$62-'тариф и РС'!$B$63)*население!C63</f>
        <v>127678.55099999998</v>
      </c>
      <c r="D62" s="129">
        <f>('тариф и РС'!$B$62-'тариф и РС'!$B$63)*население!D63</f>
        <v>122738.01819999996</v>
      </c>
      <c r="E62" s="129">
        <f>('тариф и РС'!$B$62-'тариф и РС'!$B$63)*население!E63</f>
        <v>120128.09759999998</v>
      </c>
      <c r="F62" s="129">
        <f>('тариф и РС'!$B$62-'тариф и РС'!$B$63)*население!F63</f>
        <v>122947.81519999997</v>
      </c>
      <c r="G62" s="129">
        <f>('тариф и РС'!$B$62-'тариф и РС'!$B$63)*население!G63</f>
        <v>121045.74565999997</v>
      </c>
      <c r="H62" s="129">
        <f>('тариф и РС'!$B$62-'тариф и РС'!$B$63)*население!H63</f>
        <v>120022.01091999996</v>
      </c>
      <c r="I62" s="173">
        <v>28.65</v>
      </c>
      <c r="J62" s="160">
        <f>('тариф и РС'!$I$62-'тариф и РС'!$I$63)*ПОСТАВЩИК!I63</f>
        <v>183061.57199999996</v>
      </c>
      <c r="K62" s="160">
        <f>('тариф и РС'!$I$62-'тариф и РС'!$I$63)*население!J63</f>
        <v>190219.95838999999</v>
      </c>
      <c r="L62" s="160">
        <f>('тариф и РС'!$I$62-'тариф и РС'!$I$63)*население!K63</f>
        <v>192223.56867999997</v>
      </c>
      <c r="M62" s="160">
        <f>('тариф и РС'!$I$62-'тариф и РС'!$I$63)*население!L63</f>
        <v>191844.60421999995</v>
      </c>
      <c r="N62" s="160">
        <f>('тариф и РС'!$I$62-'тариф и РС'!$I$63)*население!M63</f>
        <v>198358.49750999996</v>
      </c>
      <c r="O62" s="160">
        <f>('тариф и РС'!$I$62-'тариф и РС'!$I$63)*население!N63</f>
        <v>191971.28230999995</v>
      </c>
      <c r="P62" s="94">
        <f>C62+D62+E62+F62+G62+H62+J62+K62+L62+M62+N62+O62</f>
        <v>1882239.7216899993</v>
      </c>
    </row>
    <row r="63" spans="1:16" ht="12" customHeight="1" thickBot="1">
      <c r="A63" s="135"/>
      <c r="B63" s="135">
        <v>17.55</v>
      </c>
      <c r="C63" s="165"/>
      <c r="D63" s="165"/>
      <c r="E63" s="165"/>
      <c r="F63" s="165"/>
      <c r="G63" s="165"/>
      <c r="H63" s="165"/>
      <c r="I63" s="172">
        <v>19.66</v>
      </c>
      <c r="J63" s="160"/>
      <c r="K63" s="160"/>
      <c r="L63" s="160"/>
      <c r="M63" s="160"/>
      <c r="N63" s="160"/>
      <c r="O63" s="160"/>
      <c r="P63" s="94"/>
    </row>
    <row r="64" spans="1:16" ht="21.75" customHeight="1" thickBot="1">
      <c r="A64" s="135" t="s">
        <v>23</v>
      </c>
      <c r="B64" s="135">
        <v>21.22</v>
      </c>
      <c r="C64" s="160">
        <f>('тариф и РС'!$B$64-'тариф и РС'!$B$65)*население!C65</f>
        <v>2950.6799999999985</v>
      </c>
      <c r="D64" s="160">
        <f>('тариф и РС'!$B$64-'тариф и РС'!$B$65)*население!D65</f>
        <v>3145.1899999999982</v>
      </c>
      <c r="E64" s="160">
        <f>('тариф и РС'!$B$64-'тариф и РС'!$B$65)*население!E65</f>
        <v>3457.139999999998</v>
      </c>
      <c r="F64" s="160">
        <f>('тариф и РС'!$B$64-'тариф и РС'!$B$65)*население!F65</f>
        <v>2884.6199999999985</v>
      </c>
      <c r="G64" s="160">
        <f>('тариф и РС'!$B$64-'тариф и РС'!$B$65)*население!G65</f>
        <v>3082.7816499999985</v>
      </c>
      <c r="H64" s="160">
        <f>('тариф и РС'!$B$64-'тариф и РС'!$B$65)*население!H65</f>
        <v>2790.267969999999</v>
      </c>
      <c r="I64" s="172">
        <v>21.09</v>
      </c>
      <c r="J64" s="160">
        <f>('тариф и РС'!$I$64-'тариф и РС'!$I$65)*население!I65</f>
        <v>969.5357099999998</v>
      </c>
      <c r="K64" s="160">
        <f>('тариф и РС'!$I$64-'тариф и РС'!$I$65)*население!J65</f>
        <v>947.4093199999999</v>
      </c>
      <c r="L64" s="160">
        <f>('тариф и РС'!$I$64-'тариф и РС'!$I$65)*население!K65</f>
        <v>976.4426099999998</v>
      </c>
      <c r="M64" s="160">
        <f>('тариф и РС'!$I$64-'тариф и РС'!$I$65)*население!L65</f>
        <v>901.0058199999997</v>
      </c>
      <c r="N64" s="160">
        <f>('тариф и РС'!$I$64-'тариф и РС'!$I$65)*население!M65</f>
        <v>954.2961999999999</v>
      </c>
      <c r="O64" s="160">
        <f>('тариф и РС'!$I$64-'тариф и РС'!$I$65)*население!N65</f>
        <v>861.0387499999998</v>
      </c>
      <c r="P64" s="94">
        <f>C64+D64+E64+F64+G64+H64+J64+K64+L64+M64+N64+O64</f>
        <v>23920.408029999988</v>
      </c>
    </row>
    <row r="65" spans="1:16" ht="11.25" customHeight="1" thickBot="1">
      <c r="A65" s="135"/>
      <c r="B65" s="135">
        <v>17.55</v>
      </c>
      <c r="C65" s="165"/>
      <c r="D65" s="165"/>
      <c r="E65" s="165"/>
      <c r="F65" s="165"/>
      <c r="G65" s="165"/>
      <c r="H65" s="165"/>
      <c r="I65" s="172">
        <v>19.66</v>
      </c>
      <c r="J65" s="160"/>
      <c r="K65" s="160"/>
      <c r="L65" s="160"/>
      <c r="M65" s="160"/>
      <c r="N65" s="160"/>
      <c r="O65" s="160"/>
      <c r="P65" s="94"/>
    </row>
    <row r="66" spans="1:16" ht="12" customHeight="1" thickBot="1">
      <c r="A66" s="135" t="s">
        <v>25</v>
      </c>
      <c r="B66" s="135">
        <v>34.53</v>
      </c>
      <c r="C66" s="160">
        <f>('тариф и РС'!$B$66-'тариф и РС'!$B$67)*население!C67</f>
        <v>9799.591900000001</v>
      </c>
      <c r="D66" s="160">
        <f>('тариф и РС'!$B$66-'тариф и РС'!$B$67)*население!D67</f>
        <v>10388.7559</v>
      </c>
      <c r="E66" s="160">
        <f>('тариф и РС'!$B$66-'тариф и РС'!$B$67)*население!E67</f>
        <v>9723.4069</v>
      </c>
      <c r="F66" s="160">
        <f>('тариф и РС'!$B$66-'тариф и РС'!$B$67)*население!F67</f>
        <v>9640.2806</v>
      </c>
      <c r="G66" s="160">
        <f>('тариф и РС'!$B$66-'тариф и РС'!$B$67)*население!G67</f>
        <v>9265.06101</v>
      </c>
      <c r="H66" s="160">
        <f>('тариф и РС'!$B$66-'тариф и РС'!$B$67)*население!H67</f>
        <v>10018.530659999999</v>
      </c>
      <c r="I66" s="172">
        <v>34.89</v>
      </c>
      <c r="J66" s="160">
        <f>('тариф и РС'!$I$66-'тариф и РС'!$I$67)*население!I67</f>
        <v>8818.18344</v>
      </c>
      <c r="K66" s="160">
        <f>('тариф и РС'!$I$66-'тариф и РС'!$I$67)*население!J67</f>
        <v>8905.483619999999</v>
      </c>
      <c r="L66" s="160">
        <f>('тариф и РС'!$I$66-'тариф и РС'!$I$67)*население!K67</f>
        <v>7955.671020000001</v>
      </c>
      <c r="M66" s="160">
        <f>('тариф и РС'!$I$66-'тариф и РС'!$I$67)*население!L67</f>
        <v>6826.81032</v>
      </c>
      <c r="N66" s="160">
        <f>('тариф и РС'!$I$66-'тариф и РС'!$I$67)*население!M67</f>
        <v>7108.8243600000005</v>
      </c>
      <c r="O66" s="160">
        <f>('тариф и РС'!$I$66-'тариф и РС'!$I$67)*население!N67</f>
        <v>7277.033939999999</v>
      </c>
      <c r="P66" s="94">
        <f>C66+D66+E66+F66+G66+H66+J66+K66+L66+M66+N66+O66</f>
        <v>105727.63367</v>
      </c>
    </row>
    <row r="67" spans="1:16" ht="12" customHeight="1" thickBot="1">
      <c r="A67" s="128"/>
      <c r="B67" s="128">
        <v>17.6</v>
      </c>
      <c r="C67" s="165"/>
      <c r="D67" s="165"/>
      <c r="E67" s="165"/>
      <c r="F67" s="165"/>
      <c r="G67" s="165"/>
      <c r="H67" s="165"/>
      <c r="I67" s="172">
        <v>19.71</v>
      </c>
      <c r="J67" s="160"/>
      <c r="K67" s="160"/>
      <c r="L67" s="160"/>
      <c r="M67" s="160"/>
      <c r="N67" s="160"/>
      <c r="O67" s="160"/>
      <c r="P67" s="94"/>
    </row>
    <row r="68" spans="1:16" ht="20.25" customHeight="1" thickBot="1">
      <c r="A68" s="146" t="s">
        <v>31</v>
      </c>
      <c r="B68" s="128">
        <v>25.19</v>
      </c>
      <c r="C68" s="160">
        <f>('тариф и РС'!$B$68-'тариф и РС'!$B$69)*население!C69</f>
        <v>7324.625400000003</v>
      </c>
      <c r="D68" s="160">
        <f>('тариф и РС'!$B$68-'тариф и РС'!$B$69)*население!D69</f>
        <v>7581.617500000003</v>
      </c>
      <c r="E68" s="160">
        <f>('тариф и РС'!$B$68-'тариф и РС'!$B$69)*население!E69</f>
        <v>7309.5907000000025</v>
      </c>
      <c r="F68" s="160">
        <f>('тариф и РС'!$B$68-'тариф и РС'!$B$69)*население!F69</f>
        <v>6986.539400000002</v>
      </c>
      <c r="G68" s="160">
        <f>('тариф и РС'!$B$68-'тариф и РС'!$B$69)*население!G69</f>
        <v>7177.191860000002</v>
      </c>
      <c r="H68" s="160">
        <f>('тариф и РС'!$B$68-'тариф и РС'!$B$69)*население!H69</f>
        <v>6969.4014000000025</v>
      </c>
      <c r="I68" s="172">
        <v>26.77</v>
      </c>
      <c r="J68" s="160">
        <f>('тариф и РС'!$I$68-'тариф и РС'!$I$69)*население!I69</f>
        <v>6699.740320000001</v>
      </c>
      <c r="K68" s="160">
        <f>('тариф и РС'!$I$68-'тариф и РС'!$I$69)*население!J69</f>
        <v>6497.793120000001</v>
      </c>
      <c r="L68" s="160">
        <f>('тариф и РС'!$I$68-'тариф и РС'!$I$69)*население!K69</f>
        <v>6691.1572000000015</v>
      </c>
      <c r="M68" s="160">
        <f>('тариф и РС'!$I$68-'тариф и РС'!$I$69)*население!L69</f>
        <v>8695.865360000002</v>
      </c>
      <c r="N68" s="160">
        <f>('тариф и РС'!$I$68-'тариф и РС'!$I$69)*население!M69</f>
        <v>6247.412080000001</v>
      </c>
      <c r="O68" s="160">
        <f>('тариф и РС'!$I$68-'тариф и РС'!$I$69)*население!N69</f>
        <v>6677.543600000001</v>
      </c>
      <c r="P68" s="94">
        <f>C68+D68+E68+F68+G68+H68+J68+K68+L68+M68+N68+O68</f>
        <v>84858.47794000001</v>
      </c>
    </row>
    <row r="69" spans="1:16" ht="11.25" customHeight="1" thickBot="1">
      <c r="A69" s="128"/>
      <c r="B69" s="128">
        <v>17.4</v>
      </c>
      <c r="C69" s="53"/>
      <c r="D69" s="53"/>
      <c r="E69" s="53"/>
      <c r="F69" s="53"/>
      <c r="G69" s="53"/>
      <c r="H69" s="53"/>
      <c r="I69" s="172">
        <v>19.49</v>
      </c>
      <c r="J69" s="174"/>
      <c r="K69" s="174"/>
      <c r="L69" s="174"/>
      <c r="M69" s="174"/>
      <c r="N69" s="174"/>
      <c r="O69" s="174"/>
      <c r="P69" s="94"/>
    </row>
    <row r="70" spans="1:16" ht="18" customHeight="1" thickBot="1">
      <c r="A70" s="149" t="s">
        <v>26</v>
      </c>
      <c r="B70" s="133"/>
      <c r="C70" s="4">
        <f>C72+C76+C78+C80+C82+C86+C88+C84</f>
        <v>710947.1824604928</v>
      </c>
      <c r="D70" s="4">
        <f aca="true" t="shared" si="4" ref="D70:O70">D72+D76+D78+D80+D82+D86+D88+D84</f>
        <v>699420.1510000001</v>
      </c>
      <c r="E70" s="4">
        <f t="shared" si="4"/>
        <v>675420.4528158276</v>
      </c>
      <c r="F70" s="48">
        <f t="shared" si="4"/>
        <v>698680.4233500002</v>
      </c>
      <c r="G70" s="48">
        <f t="shared" si="4"/>
        <v>659135.21832</v>
      </c>
      <c r="H70" s="48">
        <f t="shared" si="4"/>
        <v>647596.6161645083</v>
      </c>
      <c r="I70" s="171"/>
      <c r="J70" s="171">
        <f t="shared" si="4"/>
        <v>755304.2649700001</v>
      </c>
      <c r="K70" s="171">
        <f t="shared" si="4"/>
        <v>789532.1070800001</v>
      </c>
      <c r="L70" s="171">
        <f t="shared" si="4"/>
        <v>507821.9262500001</v>
      </c>
      <c r="M70" s="171">
        <f>M72+M76+M78+M80+M82+M86+M88+M84+M74</f>
        <v>835004.1515500001</v>
      </c>
      <c r="N70" s="48">
        <f>N72+N76+N78+N80+N82+N86+N88+N84+N74</f>
        <v>851173.96232</v>
      </c>
      <c r="O70" s="48">
        <f t="shared" si="4"/>
        <v>510023.8498400001</v>
      </c>
      <c r="P70" s="93">
        <f>C70+D70+E70+F70+G70+H70+J70+K70+L70+M70+N70+O70</f>
        <v>8340060.30612083</v>
      </c>
    </row>
    <row r="71" spans="1:16" ht="8.25" customHeight="1" thickBot="1">
      <c r="A71" s="153"/>
      <c r="B71" s="139"/>
      <c r="C71" s="48"/>
      <c r="D71" s="48"/>
      <c r="E71" s="48"/>
      <c r="F71" s="48"/>
      <c r="G71" s="48"/>
      <c r="H71" s="48"/>
      <c r="I71" s="171"/>
      <c r="J71" s="171"/>
      <c r="K71" s="171"/>
      <c r="L71" s="171"/>
      <c r="M71" s="171"/>
      <c r="N71" s="48"/>
      <c r="O71" s="48"/>
      <c r="P71" s="93"/>
    </row>
    <row r="72" spans="1:17" ht="18.75" customHeight="1" thickBot="1">
      <c r="A72" s="135" t="s">
        <v>2</v>
      </c>
      <c r="B72" s="134">
        <v>32.81</v>
      </c>
      <c r="C72" s="160">
        <f>('тариф и РС'!$B$72-'тариф и РС'!$B$73)*население!C73</f>
        <v>254084.67630000002</v>
      </c>
      <c r="D72" s="160">
        <f>('тариф и РС'!$B$72-'тариф и РС'!$B$73)*население!D73</f>
        <v>257445.67940000005</v>
      </c>
      <c r="E72" s="160">
        <f>('тариф и РС'!$B$72-'тариф и РС'!$B$73)*население!E73</f>
        <v>241459.51830000005</v>
      </c>
      <c r="F72" s="160">
        <f>('тариф и РС'!$B$72-'тариф и РС'!$B$73)*население!F73</f>
        <v>253268.24250000005</v>
      </c>
      <c r="G72" s="160">
        <f>('тариф и РС'!$B$72-'тариф и РС'!$B$73)*население!G73</f>
        <v>248118.38142000002</v>
      </c>
      <c r="H72" s="160">
        <f>('тариф и РС'!$B$72-'тариф и РС'!$B$73)*население!H73</f>
        <v>249527.51642000003</v>
      </c>
      <c r="I72" s="175">
        <v>36.14</v>
      </c>
      <c r="J72" s="160">
        <f>('тариф и РС'!$I$72-'тариф и РС'!$I$73)*ПОСТАВЩИК!I73</f>
        <v>265885.08604</v>
      </c>
      <c r="K72" s="160">
        <f>('тариф и РС'!$I$72-'тариф и РС'!$I$73)*население!J73</f>
        <v>272339.53908</v>
      </c>
      <c r="L72" s="160">
        <f>(Q72-'тариф и РС'!$I$73)*население!K73</f>
        <v>0</v>
      </c>
      <c r="M72" s="160">
        <f>('тариф и РС'!$I$72-'тариф и РС'!$I$73)*население!L73</f>
        <v>0</v>
      </c>
      <c r="N72" s="160">
        <f>('тариф и РС'!$I$72-'тариф и РС'!$I$73)*население!M73</f>
        <v>0</v>
      </c>
      <c r="O72" s="160">
        <f>('тариф и РС'!$I$72-'тариф и РС'!$I$73)*население!N73</f>
        <v>0</v>
      </c>
      <c r="P72" s="94">
        <f>C72+D72+E72+F72+G72+H72+J72+K72+L72+M72+N72+O72</f>
        <v>2042128.6394600002</v>
      </c>
      <c r="Q72">
        <v>40.22</v>
      </c>
    </row>
    <row r="73" spans="1:16" ht="12.75" customHeight="1">
      <c r="A73" s="140"/>
      <c r="B73" s="140">
        <v>15.52</v>
      </c>
      <c r="C73" s="160"/>
      <c r="D73" s="129"/>
      <c r="E73" s="129"/>
      <c r="F73" s="129"/>
      <c r="G73" s="129"/>
      <c r="H73" s="129"/>
      <c r="I73" s="175">
        <v>17.38</v>
      </c>
      <c r="J73" s="160"/>
      <c r="K73" s="160"/>
      <c r="L73" s="160"/>
      <c r="M73" s="160"/>
      <c r="N73" s="159"/>
      <c r="O73" s="207"/>
      <c r="P73" s="94"/>
    </row>
    <row r="74" spans="1:18" ht="21.75" customHeight="1">
      <c r="A74" s="15" t="s">
        <v>39</v>
      </c>
      <c r="B74" s="31"/>
      <c r="C74" s="31"/>
      <c r="D74" s="31"/>
      <c r="E74" s="31"/>
      <c r="F74" s="31"/>
      <c r="G74" s="31"/>
      <c r="H74" s="31"/>
      <c r="I74" s="31">
        <v>40.22</v>
      </c>
      <c r="J74" s="81"/>
      <c r="K74" s="81"/>
      <c r="L74" s="160">
        <f>('тариф и РС'!$I$74-'тариф и РС'!$I$75)*население!K75</f>
        <v>336126.8014</v>
      </c>
      <c r="M74" s="160">
        <f>('тариф и РС'!$I$74-'тариф и РС'!$I$75)*население!L75</f>
        <v>323774.38124</v>
      </c>
      <c r="N74" s="160">
        <f>('тариф и РС'!$I$74-'тариф и РС'!$I$75)*население!M75</f>
        <v>330322.5864</v>
      </c>
      <c r="O74" s="160">
        <f>('тариф и РС'!$I$74-'тариф и РС'!$I$75)*население!N75</f>
        <v>332118.22151999996</v>
      </c>
      <c r="P74" s="259">
        <f>L74+M74+N74+O74</f>
        <v>1322341.9905599998</v>
      </c>
      <c r="Q74" s="200"/>
      <c r="R74" s="200"/>
    </row>
    <row r="75" spans="1:18" ht="13.5" thickBot="1">
      <c r="A75" s="15"/>
      <c r="B75" s="45"/>
      <c r="C75" s="45"/>
      <c r="D75" s="45"/>
      <c r="E75" s="45"/>
      <c r="F75" s="45"/>
      <c r="G75" s="45"/>
      <c r="H75" s="45"/>
      <c r="I75" s="45">
        <v>17.38</v>
      </c>
      <c r="J75" s="45"/>
      <c r="K75" s="45"/>
      <c r="L75" s="31"/>
      <c r="M75" s="71"/>
      <c r="N75" s="188"/>
      <c r="O75" s="208"/>
      <c r="P75" s="221"/>
      <c r="Q75" s="203"/>
      <c r="R75" s="203"/>
    </row>
    <row r="76" spans="1:16" ht="31.5" customHeight="1" thickBot="1">
      <c r="A76" s="154" t="s">
        <v>34</v>
      </c>
      <c r="B76" s="135">
        <v>23.67</v>
      </c>
      <c r="C76" s="160">
        <f>('тариф и РС'!$B$76-'тариф и РС'!$B$77)*население!C77</f>
        <v>962.955000000001</v>
      </c>
      <c r="D76" s="160">
        <f>('тариф и РС'!$B$76-'тариф и РС'!$B$77)*население!D77</f>
        <v>919.3500000000009</v>
      </c>
      <c r="E76" s="160">
        <f>('тариф и РС'!$B$76-'тариф и РС'!$B$77)*население!E77</f>
        <v>922.0770000000009</v>
      </c>
      <c r="F76" s="160">
        <f>('тариф и РС'!$B$76-'тариф и РС'!$B$77)*население!F77</f>
        <v>912.1950000000011</v>
      </c>
      <c r="G76" s="160">
        <f>('тариф и РС'!$B$76-'тариф и РС'!$B$77)*население!G77</f>
        <v>989.883450000001</v>
      </c>
      <c r="H76" s="160">
        <f>('тариф и РС'!$B$76-'тариф и РС'!$B$77)*население!H77</f>
        <v>747.9702000000008</v>
      </c>
      <c r="I76" s="175">
        <v>27.74</v>
      </c>
      <c r="J76" s="160">
        <f>('тариф и РС'!$I$76-'тариф и РС'!$I$77)*население!I77</f>
        <v>1672.7042399999991</v>
      </c>
      <c r="K76" s="160">
        <f>('тариф и РС'!$I$76-'тариф и РС'!$I$77)*население!J77</f>
        <v>1834.616319999999</v>
      </c>
      <c r="L76" s="160">
        <f>('тариф и РС'!$I$76-'тариф и РС'!$I$77)*население!K77</f>
        <v>2050.900959999999</v>
      </c>
      <c r="M76" s="160">
        <f>('тариф и РС'!$I$76-'тариф и РС'!$I$77)*население!L77</f>
        <v>1774.900759999999</v>
      </c>
      <c r="N76" s="160">
        <f>('тариф и РС'!$I$76-'тариф и РС'!$I$77)*население!M77</f>
        <v>1728.6961399999989</v>
      </c>
      <c r="O76" s="160">
        <f>('тариф и РС'!$I$76-'тариф и РС'!$I$77)*население!N77</f>
        <v>1905.078159999999</v>
      </c>
      <c r="P76" s="94">
        <f>C76+D76+E76+F76+G76+H76+J76+K76+L76+M76+N76+O76</f>
        <v>16421.32723</v>
      </c>
    </row>
    <row r="77" spans="1:16" ht="10.5" customHeight="1" thickBot="1">
      <c r="A77" s="136"/>
      <c r="B77" s="136">
        <v>22.32</v>
      </c>
      <c r="C77" s="129"/>
      <c r="D77" s="129"/>
      <c r="E77" s="129"/>
      <c r="F77" s="129"/>
      <c r="G77" s="129"/>
      <c r="H77" s="129"/>
      <c r="I77" s="175">
        <v>25</v>
      </c>
      <c r="J77" s="160"/>
      <c r="K77" s="160"/>
      <c r="L77" s="160"/>
      <c r="M77" s="160"/>
      <c r="N77" s="160"/>
      <c r="O77" s="160"/>
      <c r="P77" s="94"/>
    </row>
    <row r="78" spans="1:16" ht="18" customHeight="1" thickBot="1">
      <c r="A78" s="135" t="s">
        <v>22</v>
      </c>
      <c r="B78" s="135">
        <v>16.39</v>
      </c>
      <c r="C78" s="160">
        <v>90867.97</v>
      </c>
      <c r="D78" s="160">
        <v>84075.86</v>
      </c>
      <c r="E78" s="160">
        <f>('тариф и РС'!$B$78-'тариф и РС'!$B$79)*население!E79</f>
        <v>84170.21020000002</v>
      </c>
      <c r="F78" s="160">
        <f>('тариф и РС'!$B$78-'тариф и РС'!$B$79)*население!F79</f>
        <v>85758.23905000002</v>
      </c>
      <c r="G78" s="160">
        <v>81373</v>
      </c>
      <c r="H78" s="160">
        <f>('тариф и РС'!$B$78-'тариф и РС'!$B$79)*население!H79</f>
        <v>85280.744965</v>
      </c>
      <c r="I78" s="175">
        <v>18.89</v>
      </c>
      <c r="J78" s="186">
        <f>('тариф и РС'!$I$78-'тариф и РС'!$I$79)*ПОСТАВЩИК!I79</f>
        <v>102541.74340000004</v>
      </c>
      <c r="K78" s="160">
        <f>('тариф и РС'!$I$78-'тариф и РС'!$I$79)*население!J79</f>
        <v>114200.64122000005</v>
      </c>
      <c r="L78" s="160">
        <f>('тариф и РС'!$I$78-'тариф и РС'!$I$79)*население!K79</f>
        <v>116584.41940000006</v>
      </c>
      <c r="M78" s="160">
        <f>('тариф и РС'!$I$78-'тариф и РС'!$I$79)*население!L79</f>
        <v>124841.02190000005</v>
      </c>
      <c r="N78" s="160">
        <f>('тариф и РС'!$I$78-'тариф и РС'!$I$79)*население!M79</f>
        <v>122193.78176000004</v>
      </c>
      <c r="O78" s="160">
        <f>('тариф и РС'!$I$78-'тариф и РС'!$I$79)*население!N79</f>
        <v>118157.52504000005</v>
      </c>
      <c r="P78" s="94">
        <f>C78+D78+E78+F78+G78+H78+J78+K78+L78+M78+N78+O78</f>
        <v>1210045.156935</v>
      </c>
    </row>
    <row r="79" spans="1:16" ht="9.75" customHeight="1" thickBot="1">
      <c r="A79" s="135"/>
      <c r="B79" s="135">
        <v>14.525</v>
      </c>
      <c r="C79" s="129"/>
      <c r="D79" s="129"/>
      <c r="E79" s="129"/>
      <c r="F79" s="129"/>
      <c r="G79" s="129"/>
      <c r="H79" s="129"/>
      <c r="I79" s="175">
        <v>16.27</v>
      </c>
      <c r="J79" s="160"/>
      <c r="K79" s="160"/>
      <c r="L79" s="160"/>
      <c r="M79" s="160"/>
      <c r="N79" s="160"/>
      <c r="O79" s="160"/>
      <c r="P79" s="94"/>
    </row>
    <row r="80" spans="1:16" ht="25.5" customHeight="1" thickBot="1">
      <c r="A80" s="135" t="s">
        <v>27</v>
      </c>
      <c r="B80" s="135">
        <v>11.39</v>
      </c>
      <c r="C80" s="160">
        <f>('тариф и РС'!$B$80-'тариф и РС'!$B$81)*население!C81</f>
        <v>0</v>
      </c>
      <c r="D80" s="160">
        <f>('тариф и РС'!$B$80-'тариф и РС'!$B$81)*население!D81</f>
        <v>0</v>
      </c>
      <c r="E80" s="160">
        <f>('тариф и РС'!$B$80-'тариф и РС'!$B$81)*население!E81</f>
        <v>0</v>
      </c>
      <c r="F80" s="160">
        <f>('тариф и РС'!$B$80-'тариф и РС'!$B$81)*население!F81</f>
        <v>0</v>
      </c>
      <c r="G80" s="160">
        <f>('тариф и РС'!$B$80-'тариф и РС'!$B$81)*население!G81</f>
        <v>0</v>
      </c>
      <c r="H80" s="160">
        <f>('тариф и РС'!$B$80-'тариф и РС'!$B$81)*население!H81</f>
        <v>0</v>
      </c>
      <c r="I80" s="175">
        <v>12.94</v>
      </c>
      <c r="J80" s="160">
        <f>('тариф и РС'!$I$80-'тариф и РС'!$I$81)*ПОСТАВЩИК!I81</f>
        <v>590.023799999999</v>
      </c>
      <c r="K80" s="160">
        <f>('тариф и РС'!$I$80-'тариф и РС'!$I$81)*население!J81</f>
        <v>601.968419999999</v>
      </c>
      <c r="L80" s="160">
        <f>('тариф и РС'!$I$80-'тариф и РС'!$I$81)*население!K81</f>
        <v>621.259199999999</v>
      </c>
      <c r="M80" s="160">
        <f>('тариф и РС'!$I$80-'тариф и РС'!$I$81)*население!L81</f>
        <v>761.0131799999988</v>
      </c>
      <c r="N80" s="160">
        <f>('тариф и РС'!$I$80-'тариф и РС'!$I$81)*население!M81</f>
        <v>767.8834199999989</v>
      </c>
      <c r="O80" s="160">
        <f>('тариф и РС'!$I$80-'тариф и РС'!$I$81)*население!N81</f>
        <v>753.9631199999989</v>
      </c>
      <c r="P80" s="94">
        <f>C80+D80+E80+F80+G80+H80+J80+K80+L80+M80+N80+O80</f>
        <v>4096.111139999994</v>
      </c>
    </row>
    <row r="81" spans="1:16" ht="10.5" customHeight="1" thickBot="1">
      <c r="A81" s="135"/>
      <c r="B81" s="135">
        <v>11.39</v>
      </c>
      <c r="C81" s="129"/>
      <c r="D81" s="129"/>
      <c r="E81" s="129"/>
      <c r="F81" s="129"/>
      <c r="G81" s="129"/>
      <c r="H81" s="129"/>
      <c r="I81" s="175">
        <v>12.76</v>
      </c>
      <c r="J81" s="160"/>
      <c r="K81" s="160"/>
      <c r="L81" s="160"/>
      <c r="M81" s="160"/>
      <c r="N81" s="160"/>
      <c r="O81" s="160"/>
      <c r="P81" s="94"/>
    </row>
    <row r="82" spans="1:19" ht="20.25" customHeight="1" thickBot="1">
      <c r="A82" s="135" t="s">
        <v>25</v>
      </c>
      <c r="B82" s="135">
        <v>22.4</v>
      </c>
      <c r="C82" s="160">
        <f>('тариф и РС'!$B$82-'тариф и РС'!$B$83)*население!C83</f>
        <v>6927.409899999999</v>
      </c>
      <c r="D82" s="160">
        <f>('тариф и РС'!$B$82-'тариф и РС'!$B$83)*население!D83</f>
        <v>7267.224599999999</v>
      </c>
      <c r="E82" s="160">
        <f>('тариф и РС'!$B$82-'тариф и РС'!$B$83)*население!E83</f>
        <v>6310.342199999998</v>
      </c>
      <c r="F82" s="160">
        <f>('тариф и РС'!$B$82-'тариф и РС'!$B$83)*население!F83</f>
        <v>6562.107099999998</v>
      </c>
      <c r="G82" s="160">
        <f>('тариф и РС'!$B$82-'тариф и РС'!$B$83)*население!G83</f>
        <v>4385.247579999999</v>
      </c>
      <c r="H82" s="160">
        <f>('тариф и РС'!$B$82-'тариф и РС'!$B$83)*население!H83</f>
        <v>4755.056739999999</v>
      </c>
      <c r="I82" s="175">
        <v>22.4</v>
      </c>
      <c r="J82" s="160">
        <f>('тариф и РС'!$I$82-'тариф и РС'!$I$83)*население!I83</f>
        <v>3647.044699999999</v>
      </c>
      <c r="K82" s="160">
        <f>('тариф и РС'!$I$82-'тариф и РС'!$I$83)*население!J83</f>
        <v>3662.012359999999</v>
      </c>
      <c r="L82" s="160">
        <f>('тариф и РС'!$I$82-'тариф и РС'!$I$83)*население!K83</f>
        <v>3280.7658399999987</v>
      </c>
      <c r="M82" s="160">
        <f>('тариф и РС'!$I$82-'тариф и РС'!$I$83)*население!L83</f>
        <v>3965.165379999999</v>
      </c>
      <c r="N82" s="160">
        <f>('тариф и РС'!$I$82-'тариф и РС'!$I$83)*население!M83</f>
        <v>4519.175379999999</v>
      </c>
      <c r="O82" s="160">
        <f>('тариф и РС'!$I$82-'тариф и РС'!$I$83)*население!N83</f>
        <v>4671.424839999999</v>
      </c>
      <c r="P82" s="94">
        <f>C82+D82+E82+F82+G82+H82+J82+K82+L82+M82+N82+O82</f>
        <v>59952.97661999999</v>
      </c>
      <c r="S82" s="50" t="e">
        <f>J91+169.66-758.55-127.89</f>
        <v>#REF!</v>
      </c>
    </row>
    <row r="83" spans="1:16" ht="14.25" customHeight="1" thickBot="1">
      <c r="A83" s="135"/>
      <c r="B83" s="135">
        <v>14.41</v>
      </c>
      <c r="C83" s="129"/>
      <c r="D83" s="129"/>
      <c r="E83" s="129"/>
      <c r="F83" s="129"/>
      <c r="G83" s="129"/>
      <c r="H83" s="129"/>
      <c r="I83" s="175">
        <v>16.14</v>
      </c>
      <c r="J83" s="160"/>
      <c r="K83" s="160"/>
      <c r="L83" s="160"/>
      <c r="M83" s="160"/>
      <c r="N83" s="160"/>
      <c r="O83" s="160"/>
      <c r="P83" s="94"/>
    </row>
    <row r="84" spans="1:16" ht="23.25" customHeight="1" thickBot="1">
      <c r="A84" s="135" t="s">
        <v>30</v>
      </c>
      <c r="B84" s="135">
        <v>17.79</v>
      </c>
      <c r="C84" s="160">
        <f>('тариф и РС'!$B$84-'тариф и РС'!$B$85)*население!C85</f>
        <v>4355.332799999998</v>
      </c>
      <c r="D84" s="160">
        <f>('тариф и РС'!$B$84-'тариф и РС'!$B$85)*население!D85</f>
        <v>4352.594999999998</v>
      </c>
      <c r="E84" s="160">
        <f>('тариф и РС'!$B$84-'тариф и РС'!$B$85)*население!E85</f>
        <v>4308.722599999998</v>
      </c>
      <c r="F84" s="160">
        <f>('тариф и РС'!$B$84-'тариф и РС'!$B$85)*население!F85</f>
        <v>4193.329399999999</v>
      </c>
      <c r="G84" s="160">
        <f>('тариф и РС'!$B$84-'тариф и РС'!$B$85)*население!G85</f>
        <v>4284.924019999999</v>
      </c>
      <c r="H84" s="160">
        <f>('тариф и РС'!$B$84-'тариф и РС'!$B$85)*население!H85</f>
        <v>4179.224659999999</v>
      </c>
      <c r="I84" s="175">
        <v>19.27</v>
      </c>
      <c r="J84" s="160">
        <f>('тариф и РС'!$I$84-'тариф и РС'!$I$85)*население!I85</f>
        <v>3929.6304899999986</v>
      </c>
      <c r="K84" s="160">
        <f>('тариф и РС'!$I$84-'тариф и РС'!$I$85)*население!J85</f>
        <v>3853.2240599999986</v>
      </c>
      <c r="L84" s="160">
        <f>('тариф и РС'!$I$84-'тариф и РС'!$I$85)*население!K85</f>
        <v>3903.8799799999993</v>
      </c>
      <c r="M84" s="160">
        <f>('тариф и РС'!$I$84-'тариф и РС'!$I$85)*население!L85</f>
        <v>4725.990129999998</v>
      </c>
      <c r="N84" s="160">
        <f>('тариф и РС'!$I$84-'тариф и РС'!$I$85)*население!M85</f>
        <v>3684.213449999999</v>
      </c>
      <c r="O84" s="160">
        <f>('тариф и РС'!$I$84-'тариф и РС'!$I$85)*население!N85</f>
        <v>4046.3200199999983</v>
      </c>
      <c r="P84" s="94">
        <f>C84+D84+E84+F84+G84+H84+J84+K84+L84+M84+N84+O84</f>
        <v>49817.38660999998</v>
      </c>
    </row>
    <row r="85" spans="1:16" ht="11.25" customHeight="1" thickBot="1">
      <c r="A85" s="135"/>
      <c r="B85" s="135">
        <v>14.41</v>
      </c>
      <c r="C85" s="129"/>
      <c r="D85" s="129"/>
      <c r="E85" s="129"/>
      <c r="F85" s="129"/>
      <c r="G85" s="129"/>
      <c r="H85" s="129"/>
      <c r="I85" s="175">
        <v>16.14</v>
      </c>
      <c r="J85" s="160"/>
      <c r="K85" s="160"/>
      <c r="L85" s="160"/>
      <c r="M85" s="160"/>
      <c r="N85" s="160"/>
      <c r="O85" s="160"/>
      <c r="P85" s="94"/>
    </row>
    <row r="86" spans="1:16" ht="45" customHeight="1" thickBot="1">
      <c r="A86" s="135" t="s">
        <v>35</v>
      </c>
      <c r="B86" s="135">
        <v>23.32</v>
      </c>
      <c r="C86" s="160">
        <f>('тариф и РС'!$B$86-'тариф и РС'!$B$87)*население!C87</f>
        <v>89833.85916049288</v>
      </c>
      <c r="D86" s="160">
        <v>81727.36</v>
      </c>
      <c r="E86" s="160">
        <f>('тариф и РС'!$B$86-'тариф и РС'!$B$87)*население!E87</f>
        <v>80301.63371582756</v>
      </c>
      <c r="F86" s="164">
        <v>83229.06</v>
      </c>
      <c r="G86" s="164">
        <v>78737.79</v>
      </c>
      <c r="H86" s="160">
        <f>('тариф и РС'!$B$86-'тариф и РС'!$B$87)*население!H87</f>
        <v>80111.36849950827</v>
      </c>
      <c r="I86" s="175">
        <v>27.84</v>
      </c>
      <c r="J86" s="186">
        <f>('тариф и РС'!$I$86-'тариф и РС'!$I$87)*ПОСТАВЩИК!I87</f>
        <v>99901.63799999999</v>
      </c>
      <c r="K86" s="160">
        <f>('тариф и РС'!$I$86-'тариф и РС'!$I$87)*население!J87</f>
        <v>115879.27943999998</v>
      </c>
      <c r="L86" s="160">
        <f>('тариф и РС'!$I$86-'тариф и РС'!$I$87)*население!K87</f>
        <v>112579.17686999998</v>
      </c>
      <c r="M86" s="160">
        <f>('тариф и РС'!$I$86-'тариф и РС'!$I$87)*население!L87</f>
        <v>108412.51316</v>
      </c>
      <c r="N86" s="160">
        <f>('тариф и РС'!$I$86-'тариф и РС'!$I$87)*население!M87</f>
        <v>115121.88458999999</v>
      </c>
      <c r="O86" s="160">
        <f>('тариф и РС'!$I$86-'тариф и РС'!$I$87)*население!N87</f>
        <v>112662.92159999999</v>
      </c>
      <c r="P86" s="94">
        <f>C86+D86+E86+F86+G86+H86+J86+K86+L86+M86+N86+O86</f>
        <v>1158498.4850358285</v>
      </c>
    </row>
    <row r="87" spans="1:16" ht="15" customHeight="1" thickBot="1">
      <c r="A87" s="155"/>
      <c r="B87" s="135">
        <f>население!P88</f>
        <v>15.385008911532326</v>
      </c>
      <c r="C87" s="129"/>
      <c r="D87" s="129"/>
      <c r="E87" s="129"/>
      <c r="F87" s="129"/>
      <c r="G87" s="129"/>
      <c r="H87" s="129"/>
      <c r="I87" s="175">
        <v>17.23</v>
      </c>
      <c r="J87" s="160"/>
      <c r="K87" s="160"/>
      <c r="L87" s="160"/>
      <c r="M87" s="160"/>
      <c r="N87" s="160"/>
      <c r="O87" s="160"/>
      <c r="P87" s="94"/>
    </row>
    <row r="88" spans="1:16" s="30" customFormat="1" ht="36" customHeight="1" thickBot="1">
      <c r="A88" s="135" t="s">
        <v>32</v>
      </c>
      <c r="B88" s="136">
        <v>28.11</v>
      </c>
      <c r="C88" s="160">
        <f>('тариф и РС'!$B$88-'тариф и РС'!$B$89)*население!C89</f>
        <v>263914.9793</v>
      </c>
      <c r="D88" s="160">
        <f>('тариф и РС'!$B$88-'тариф и РС'!$B$89)*население!D89</f>
        <v>263632.082</v>
      </c>
      <c r="E88" s="160">
        <f>('тариф и РС'!$B$88-'тариф и РС'!$B$89)*население!E89</f>
        <v>257947.94879999998</v>
      </c>
      <c r="F88" s="160">
        <f>('тариф и РС'!$B$88-'тариф и РС'!$B$89)*население!F89</f>
        <v>264757.25029999996</v>
      </c>
      <c r="G88" s="160">
        <f>('тариф и РС'!$B$88-'тариф и РС'!$B$89)*население!G89</f>
        <v>241245.99185</v>
      </c>
      <c r="H88" s="160">
        <f>('тариф и РС'!$B$88-'тариф и РС'!$B$89)*население!H89</f>
        <v>222994.73468</v>
      </c>
      <c r="I88" s="175">
        <v>30.76</v>
      </c>
      <c r="J88" s="160">
        <f>('тариф и РС'!$I$88-'тариф и РС'!$I$89)*население!I89</f>
        <v>277136.39430000004</v>
      </c>
      <c r="K88" s="160">
        <f>('тариф и РС'!$I$88-'тариф и РС'!$I$89)*население!J89</f>
        <v>277160.8261800001</v>
      </c>
      <c r="L88" s="160">
        <f>('тариф и РС'!$I$88-'тариф и РС'!$I$89)*население!K89</f>
        <v>268801.52400000003</v>
      </c>
      <c r="M88" s="160">
        <f>('тариф и РС'!$I$88-'тариф и РС'!$I$89)*население!L89</f>
        <v>266749.1658000001</v>
      </c>
      <c r="N88" s="160">
        <f>('тариф и РС'!$I$88-'тариф и РС'!$I$89)*население!M89</f>
        <v>272835.74118000007</v>
      </c>
      <c r="O88" s="160">
        <f>('тариф и РС'!$I$88-'тариф и РС'!$I$89)*население!N89</f>
        <v>267826.6170600001</v>
      </c>
      <c r="P88" s="94">
        <f>C88+D88+E88+F88+G88+H88+J88+K88+L88+M88+N88+O88</f>
        <v>3145003.25545</v>
      </c>
    </row>
    <row r="89" spans="1:16" s="30" customFormat="1" ht="12" customHeight="1" thickBot="1">
      <c r="A89" s="136"/>
      <c r="B89" s="136">
        <v>15.52</v>
      </c>
      <c r="C89" s="160"/>
      <c r="D89" s="160"/>
      <c r="E89" s="160"/>
      <c r="F89" s="160"/>
      <c r="G89" s="160"/>
      <c r="H89" s="160"/>
      <c r="I89" s="167">
        <v>17.38</v>
      </c>
      <c r="J89" s="160"/>
      <c r="K89" s="160"/>
      <c r="L89" s="176"/>
      <c r="M89" s="176"/>
      <c r="N89" s="31"/>
      <c r="O89" s="32"/>
      <c r="P89" s="96"/>
    </row>
    <row r="90" ht="9" customHeight="1"/>
    <row r="91" spans="3:16" ht="12.75">
      <c r="C91" s="97">
        <f aca="true" t="shared" si="5" ref="C91:H91">SUM(C2+C30+C48+C70)</f>
        <v>14786839.062090317</v>
      </c>
      <c r="D91" s="97">
        <f t="shared" si="5"/>
        <v>14354607.542503258</v>
      </c>
      <c r="E91" s="97">
        <f t="shared" si="5"/>
        <v>13335723.342462098</v>
      </c>
      <c r="F91" s="56">
        <f>SUM(F2+F30+F48+F70)</f>
        <v>9049791.744210528</v>
      </c>
      <c r="G91" s="56">
        <f t="shared" si="5"/>
        <v>2044287.1474744368</v>
      </c>
      <c r="H91" s="56">
        <f t="shared" si="5"/>
        <v>1823293.5420781448</v>
      </c>
      <c r="I91" s="181"/>
      <c r="J91" s="56" t="e">
        <f aca="true" t="shared" si="6" ref="J91:O91">SUM(J2+J30+J48+J70)</f>
        <v>#REF!</v>
      </c>
      <c r="K91" s="56" t="e">
        <f t="shared" si="6"/>
        <v>#REF!</v>
      </c>
      <c r="L91" s="56" t="e">
        <f t="shared" si="6"/>
        <v>#REF!</v>
      </c>
      <c r="M91" s="56" t="e">
        <f t="shared" si="6"/>
        <v>#REF!</v>
      </c>
      <c r="N91" s="56" t="e">
        <f t="shared" si="6"/>
        <v>#REF!</v>
      </c>
      <c r="O91" s="56" t="e">
        <f t="shared" si="6"/>
        <v>#REF!</v>
      </c>
      <c r="P91" s="58" t="e">
        <f>P2+P30+P48+P70</f>
        <v>#REF!</v>
      </c>
    </row>
    <row r="92" spans="3:14" ht="12.75">
      <c r="C92" s="57"/>
      <c r="D92" s="57"/>
      <c r="E92" s="57">
        <v>0</v>
      </c>
      <c r="F92" s="57"/>
      <c r="G92" s="57"/>
      <c r="H92" s="57"/>
      <c r="I92" s="182"/>
      <c r="J92" s="57"/>
      <c r="N92" s="64">
        <f>-N72</f>
        <v>0</v>
      </c>
    </row>
    <row r="93" spans="3:14" ht="12.75">
      <c r="C93" s="57"/>
      <c r="D93" s="57"/>
      <c r="E93" s="57"/>
      <c r="F93" s="57"/>
      <c r="G93" s="57"/>
      <c r="H93" s="57"/>
      <c r="I93" s="182"/>
      <c r="J93" s="57"/>
      <c r="N93" s="64">
        <f>+N73</f>
        <v>0</v>
      </c>
    </row>
    <row r="94" ht="12.75">
      <c r="P94" s="65" t="e">
        <f>P2+P30+P48+P70</f>
        <v>#REF!</v>
      </c>
    </row>
  </sheetData>
  <sheetProtection/>
  <printOptions/>
  <pageMargins left="0.5905511811023623" right="0.3937007874015748" top="0" bottom="0" header="0.11811023622047245" footer="0.11811023622047245"/>
  <pageSetup horizontalDpi="600" verticalDpi="600" orientation="portrait" paperSize="9" scale="53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2014-04-29T06:08:47Z</cp:lastPrinted>
  <dcterms:created xsi:type="dcterms:W3CDTF">1996-10-08T23:32:33Z</dcterms:created>
  <dcterms:modified xsi:type="dcterms:W3CDTF">2014-04-29T06:30:32Z</dcterms:modified>
  <cp:category/>
  <cp:version/>
  <cp:contentType/>
  <cp:contentStatus/>
</cp:coreProperties>
</file>